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</sheets>
  <definedNames>
    <definedName name="_xlnm.Print_Area" localSheetId="0">'2008'!$A$1:$N$179</definedName>
    <definedName name="_xlnm.Print_Area" localSheetId="1">'2009'!$A$1:$Q$185</definedName>
    <definedName name="_xlnm.Print_Area" localSheetId="2">'2010'!$A$1:$R$181</definedName>
    <definedName name="_xlnm.Print_Area" localSheetId="3">'2011'!$A$1:$Q$180</definedName>
    <definedName name="_xlnm.Print_Area" localSheetId="4">'2012'!$A$1:$Y$190</definedName>
    <definedName name="_xlnm.Print_Area" localSheetId="5">'2013'!$A$1:$Q$212</definedName>
    <definedName name="_xlnm.Print_Area" localSheetId="6">'2014'!$A$1:$Z$206</definedName>
  </definedNames>
  <calcPr fullCalcOnLoad="1"/>
</workbook>
</file>

<file path=xl/sharedStrings.xml><?xml version="1.0" encoding="utf-8"?>
<sst xmlns="http://schemas.openxmlformats.org/spreadsheetml/2006/main" count="1115" uniqueCount="144">
  <si>
    <t xml:space="preserve">eksploatacja 1-12 </t>
  </si>
  <si>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</si>
  <si>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</si>
  <si>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</si>
  <si>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</si>
  <si>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</si>
  <si>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</si>
  <si>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</si>
  <si>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</si>
  <si>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</si>
  <si>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</si>
  <si>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</si>
  <si>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</si>
  <si>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</si>
  <si>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</t>
  </si>
  <si>
    <t>sprzątanie</t>
  </si>
  <si>
    <t>energia elektryczna</t>
  </si>
  <si>
    <t>eniergia cieplna</t>
  </si>
  <si>
    <t>konserwacja</t>
  </si>
  <si>
    <t>przeglądy</t>
  </si>
  <si>
    <t xml:space="preserve">drobne naprawy </t>
  </si>
  <si>
    <t>podatek od nieruchomości</t>
  </si>
  <si>
    <t>opłata za wieczyste użytk</t>
  </si>
  <si>
    <t>ubezpieczenie</t>
  </si>
  <si>
    <t xml:space="preserve"> </t>
  </si>
  <si>
    <t>koszty zarządzania</t>
  </si>
  <si>
    <t>BO i koszty pośrednie</t>
  </si>
  <si>
    <t>eksploatacja 13-21</t>
  </si>
  <si>
    <t>obsługa kredytu KFM</t>
  </si>
  <si>
    <t>eksploatacja 22-23</t>
  </si>
  <si>
    <t>niedobor wody</t>
  </si>
  <si>
    <t>Koszty ogólne zarządu</t>
  </si>
  <si>
    <t>Abonamenty</t>
  </si>
  <si>
    <t>(KRD.home, ksiązk  tel, pospis el.)</t>
  </si>
  <si>
    <t>Radca Prawny</t>
  </si>
  <si>
    <t xml:space="preserve">serwis </t>
  </si>
  <si>
    <t>szkolenie</t>
  </si>
  <si>
    <t>wyposażenie biura</t>
  </si>
  <si>
    <t>rachunki za telefon</t>
  </si>
  <si>
    <t>znaczki opłaty</t>
  </si>
  <si>
    <t>wynagrodzenia</t>
  </si>
  <si>
    <t>narzuty na wynagrodzenia</t>
  </si>
  <si>
    <t>ekwiwalenty, podróże sł.</t>
  </si>
  <si>
    <t>podatek od nieruchom</t>
  </si>
  <si>
    <t>Załącznik nr 15</t>
  </si>
  <si>
    <t>do Bilansu za 2009 r.</t>
  </si>
  <si>
    <t>Prognoza  2010</t>
  </si>
  <si>
    <t>stawka</t>
  </si>
  <si>
    <t>Koszty</t>
  </si>
  <si>
    <t>/M2</t>
  </si>
  <si>
    <t>energia cieplna</t>
  </si>
  <si>
    <t>koszty wyodrębnienia</t>
  </si>
  <si>
    <t xml:space="preserve"> koszty pośrednie</t>
  </si>
  <si>
    <t xml:space="preserve">BO </t>
  </si>
  <si>
    <t xml:space="preserve">koszty lokali wyodrębnionych </t>
  </si>
  <si>
    <t>powierzchnia lokali wyodręb</t>
  </si>
  <si>
    <t>Miesięczne koszty lokali wyodrębnionych</t>
  </si>
  <si>
    <t>stan początkowy kosztów lok. Wyodrębnionych</t>
  </si>
  <si>
    <t>Załącznik nr 17</t>
  </si>
  <si>
    <t>koszty pośrednie</t>
  </si>
  <si>
    <t>obsługa kredytu</t>
  </si>
  <si>
    <t>bez obsługi kredytu</t>
  </si>
  <si>
    <t xml:space="preserve">KFM </t>
  </si>
  <si>
    <t>KFM 1</t>
  </si>
  <si>
    <t>Saldo  1-01-2009</t>
  </si>
  <si>
    <t>Wpływy 2009</t>
  </si>
  <si>
    <t>Spłaty  2009</t>
  </si>
  <si>
    <t>operaty</t>
  </si>
  <si>
    <t>Załącznik nr 16</t>
  </si>
  <si>
    <t xml:space="preserve">koszty  lokali wyodrębnionych </t>
  </si>
  <si>
    <t>Załącznik nr 18</t>
  </si>
  <si>
    <t>%</t>
  </si>
  <si>
    <t>Na 1 m 2</t>
  </si>
  <si>
    <t xml:space="preserve"> miesięcznie</t>
  </si>
  <si>
    <t xml:space="preserve"> telefon, internet</t>
  </si>
  <si>
    <t>Holenderska 1-12</t>
  </si>
  <si>
    <t>Holenderska 13-21</t>
  </si>
  <si>
    <t>Holenderska 22-23</t>
  </si>
  <si>
    <t>do Bilansu za 2010 r.</t>
  </si>
  <si>
    <t>Prognoza  2011</t>
  </si>
  <si>
    <t xml:space="preserve">stan początkowy </t>
  </si>
  <si>
    <t>Saldo  1-01-2010</t>
  </si>
  <si>
    <t>Wpływy 2010</t>
  </si>
  <si>
    <t>Spłaty  2010</t>
  </si>
  <si>
    <t>do Bilansu za 2010r.</t>
  </si>
  <si>
    <t>(home, ksiązk  tel, pospis el.)</t>
  </si>
  <si>
    <t>koszty ogrzewania biura</t>
  </si>
  <si>
    <t>inne</t>
  </si>
  <si>
    <t xml:space="preserve">Załącznik nr 2 </t>
  </si>
  <si>
    <t>Do Bilansu za 2011</t>
  </si>
  <si>
    <t xml:space="preserve">Załącznik nr 3 </t>
  </si>
  <si>
    <t>bez podatku od nieruchomości</t>
  </si>
  <si>
    <t>Saldo  1-01-2011</t>
  </si>
  <si>
    <t>Wpływy 2011</t>
  </si>
  <si>
    <t>Spłaty  2011</t>
  </si>
  <si>
    <t>Załącznik nr 4</t>
  </si>
  <si>
    <t>Prognoza  2012</t>
  </si>
  <si>
    <t>Załącznik nr 5</t>
  </si>
  <si>
    <t>Załącznik nr 2 do bilansu za 2012</t>
  </si>
  <si>
    <t>Prognoza  2013</t>
  </si>
  <si>
    <t>energia cieplna, woda</t>
  </si>
  <si>
    <t>zagospodarowanie terenu</t>
  </si>
  <si>
    <t>Załącznik nr 3 do bilansu za 2012</t>
  </si>
  <si>
    <t>energia elektryczna i cieplna</t>
  </si>
  <si>
    <t>Saldo  1-01-2012</t>
  </si>
  <si>
    <t>Wpływy 2012</t>
  </si>
  <si>
    <t>Spłaty  2012</t>
  </si>
  <si>
    <t>Załącznik nr 4 do bilansu za 2012</t>
  </si>
  <si>
    <t>Finansowanie kosztw ogólnych zarządu</t>
  </si>
  <si>
    <t>Załącznik nr 5  do bilansu za 2012 str 1</t>
  </si>
  <si>
    <t>Załącznik nr 5 do bilansu za 2012 str 2</t>
  </si>
  <si>
    <t xml:space="preserve">koszty odólne sfinansowane z wpływów </t>
  </si>
  <si>
    <t>garaże</t>
  </si>
  <si>
    <t xml:space="preserve">lokale </t>
  </si>
  <si>
    <t xml:space="preserve">zarząd </t>
  </si>
  <si>
    <t xml:space="preserve">              eksploatacja </t>
  </si>
  <si>
    <t>usługowe</t>
  </si>
  <si>
    <t>zlecony</t>
  </si>
  <si>
    <t>rok</t>
  </si>
  <si>
    <t>średnia/m-c</t>
  </si>
  <si>
    <t>/1m2 powierzchni sredniomiesięcznie</t>
  </si>
  <si>
    <t xml:space="preserve">Eksploatacja   -  Holenderska   1-12 </t>
  </si>
  <si>
    <t>Załącznik nr 2 do bilansu za 2013</t>
  </si>
  <si>
    <t>Prognoza  2014</t>
  </si>
  <si>
    <t>deratyzacja, dezynsekcja</t>
  </si>
  <si>
    <t>powierzchnia lokali wyodrębnionych</t>
  </si>
  <si>
    <t>Eksploatacja -  Holenderska 13-21</t>
  </si>
  <si>
    <t>Załącznik nr 3 do bilansu za 2013</t>
  </si>
  <si>
    <t>Iinne</t>
  </si>
  <si>
    <t>Saldo  1-01-2013</t>
  </si>
  <si>
    <t>Wpływy 2013</t>
  </si>
  <si>
    <t>Spłaty  2013</t>
  </si>
  <si>
    <t>inwentaryzacja</t>
  </si>
  <si>
    <t>Eksploatacja  - Holenderska 22-23</t>
  </si>
  <si>
    <t>Załącznik nr 4 do bilansu za 2013</t>
  </si>
  <si>
    <t>rozliczenie niedoboru wody</t>
  </si>
  <si>
    <t>zagospodarowaie terenu</t>
  </si>
  <si>
    <t>Finansowanie kosztów ogólnych zarządu</t>
  </si>
  <si>
    <t>Załącznik nr 5  do bilansu za 2013 str 1</t>
  </si>
  <si>
    <t>Załącznik nr 5 do bilansu za 2013 str. 2</t>
  </si>
  <si>
    <t>Inne opłaty</t>
  </si>
  <si>
    <t>Saldo  1-01-2014</t>
  </si>
  <si>
    <t>Wpływy 2014</t>
  </si>
  <si>
    <t>Spłaty  2014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</si>
</sst>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#,###.00"/>
    <numFmt numFmtId="168" formatCode="#,##0.0"/>
    <numFmt numFmtId="169" formatCode="0.00%"/>
    <numFmt numFmtId="170" formatCode="D/MM/YYYY"/>
    <numFmt numFmtId="171" formatCode="#,##0.000"/>
  </numFmts>
  <fonts count="7">
    <font>
      <sz val="10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1" fillId="0" borderId="4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8" xfId="0" applyBorder="1" applyAlignment="1">
      <alignment/>
    </xf>
    <xf numFmtId="164" fontId="0" fillId="2" borderId="19" xfId="0" applyFont="1" applyFill="1" applyBorder="1" applyAlignment="1">
      <alignment/>
    </xf>
    <xf numFmtId="164" fontId="0" fillId="2" borderId="20" xfId="0" applyFill="1" applyBorder="1" applyAlignment="1">
      <alignment/>
    </xf>
    <xf numFmtId="164" fontId="0" fillId="0" borderId="21" xfId="0" applyFont="1" applyBorder="1" applyAlignment="1">
      <alignment/>
    </xf>
    <xf numFmtId="164" fontId="0" fillId="2" borderId="22" xfId="0" applyFill="1" applyBorder="1" applyAlignment="1">
      <alignment/>
    </xf>
    <xf numFmtId="164" fontId="0" fillId="2" borderId="23" xfId="0" applyFont="1" applyFill="1" applyBorder="1" applyAlignment="1">
      <alignment/>
    </xf>
    <xf numFmtId="164" fontId="0" fillId="0" borderId="24" xfId="0" applyBorder="1" applyAlignment="1">
      <alignment/>
    </xf>
    <xf numFmtId="164" fontId="0" fillId="2" borderId="23" xfId="0" applyFont="1" applyFill="1" applyBorder="1" applyAlignment="1">
      <alignment horizontal="center"/>
    </xf>
    <xf numFmtId="164" fontId="0" fillId="2" borderId="25" xfId="0" applyFill="1" applyBorder="1" applyAlignment="1">
      <alignment/>
    </xf>
    <xf numFmtId="164" fontId="0" fillId="2" borderId="26" xfId="0" applyFill="1" applyBorder="1" applyAlignment="1">
      <alignment/>
    </xf>
    <xf numFmtId="165" fontId="0" fillId="2" borderId="22" xfId="0" applyNumberFormat="1" applyFill="1" applyBorder="1" applyAlignment="1">
      <alignment/>
    </xf>
    <xf numFmtId="164" fontId="0" fillId="2" borderId="23" xfId="0" applyFill="1" applyBorder="1" applyAlignment="1">
      <alignment/>
    </xf>
    <xf numFmtId="166" fontId="0" fillId="2" borderId="23" xfId="0" applyNumberFormat="1" applyFill="1" applyBorder="1" applyAlignment="1">
      <alignment/>
    </xf>
    <xf numFmtId="165" fontId="0" fillId="0" borderId="21" xfId="0" applyNumberFormat="1" applyBorder="1" applyAlignment="1">
      <alignment/>
    </xf>
    <xf numFmtId="167" fontId="0" fillId="2" borderId="27" xfId="0" applyNumberFormat="1" applyFill="1" applyBorder="1" applyAlignment="1">
      <alignment/>
    </xf>
    <xf numFmtId="164" fontId="0" fillId="2" borderId="28" xfId="0" applyFill="1" applyBorder="1" applyAlignment="1">
      <alignment/>
    </xf>
    <xf numFmtId="167" fontId="0" fillId="2" borderId="22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164" fontId="0" fillId="2" borderId="27" xfId="0" applyFill="1" applyBorder="1" applyAlignment="1">
      <alignment/>
    </xf>
    <xf numFmtId="164" fontId="0" fillId="0" borderId="29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31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65" fontId="0" fillId="2" borderId="27" xfId="0" applyNumberFormat="1" applyFill="1" applyBorder="1" applyAlignment="1">
      <alignment/>
    </xf>
    <xf numFmtId="165" fontId="0" fillId="2" borderId="28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24" xfId="0" applyNumberForma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0" fillId="0" borderId="13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35" xfId="0" applyBorder="1" applyAlignment="1">
      <alignment/>
    </xf>
    <xf numFmtId="164" fontId="0" fillId="0" borderId="30" xfId="0" applyBorder="1" applyAlignment="1">
      <alignment/>
    </xf>
    <xf numFmtId="169" fontId="0" fillId="0" borderId="36" xfId="0" applyNumberFormat="1" applyBorder="1" applyAlignment="1">
      <alignment/>
    </xf>
    <xf numFmtId="164" fontId="0" fillId="0" borderId="23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0" xfId="0" applyNumberFormat="1" applyAlignment="1">
      <alignment/>
    </xf>
    <xf numFmtId="165" fontId="0" fillId="0" borderId="5" xfId="0" applyNumberForma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4" fontId="0" fillId="0" borderId="5" xfId="0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3" xfId="0" applyFill="1" applyBorder="1" applyAlignment="1">
      <alignment/>
    </xf>
    <xf numFmtId="165" fontId="0" fillId="0" borderId="15" xfId="0" applyNumberFormat="1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7" xfId="0" applyFill="1" applyBorder="1" applyAlignment="1">
      <alignment/>
    </xf>
    <xf numFmtId="164" fontId="5" fillId="0" borderId="4" xfId="0" applyFont="1" applyBorder="1" applyAlignment="1">
      <alignment/>
    </xf>
    <xf numFmtId="164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2" xfId="0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10" xfId="0" applyFill="1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64" fontId="5" fillId="0" borderId="34" xfId="0" applyFont="1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6" fontId="0" fillId="0" borderId="21" xfId="0" applyNumberFormat="1" applyBorder="1" applyAlignment="1">
      <alignment/>
    </xf>
    <xf numFmtId="164" fontId="6" fillId="0" borderId="0" xfId="0" applyFont="1" applyAlignment="1">
      <alignment/>
    </xf>
    <xf numFmtId="165" fontId="4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70" fontId="0" fillId="0" borderId="50" xfId="0" applyNumberFormat="1" applyFont="1" applyBorder="1" applyAlignment="1">
      <alignment/>
    </xf>
    <xf numFmtId="164" fontId="0" fillId="0" borderId="51" xfId="0" applyFon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1" xfId="0" applyNumberFormat="1" applyBorder="1" applyAlignment="1">
      <alignment/>
    </xf>
    <xf numFmtId="171" fontId="0" fillId="0" borderId="21" xfId="0" applyNumberFormat="1" applyBorder="1" applyAlignment="1">
      <alignment/>
    </xf>
    <xf numFmtId="167" fontId="0" fillId="0" borderId="9" xfId="0" applyNumberFormat="1" applyBorder="1" applyAlignment="1">
      <alignment/>
    </xf>
    <xf numFmtId="164" fontId="6" fillId="0" borderId="0" xfId="0" applyFont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6" xfId="0" applyNumberFormat="1" applyFill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Alignment="1">
      <alignment/>
    </xf>
    <xf numFmtId="165" fontId="0" fillId="3" borderId="5" xfId="0" applyNumberFormat="1" applyFill="1" applyBorder="1" applyAlignment="1">
      <alignment/>
    </xf>
    <xf numFmtId="165" fontId="0" fillId="3" borderId="5" xfId="0" applyNumberFormat="1" applyFont="1" applyFill="1" applyBorder="1" applyAlignment="1">
      <alignment/>
    </xf>
    <xf numFmtId="165" fontId="0" fillId="3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zoomScale="81" zoomScaleNormal="81" workbookViewId="0" topLeftCell="A118">
      <selection activeCell="B178" sqref="B178"/>
    </sheetView>
  </sheetViews>
  <sheetFormatPr defaultColWidth="12.57421875" defaultRowHeight="12.75"/>
  <cols>
    <col min="1" max="1" width="23.00390625" style="0" customWidth="1"/>
    <col min="2" max="16384" width="11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2" ht="12.75">
      <c r="A5">
        <v>2008</v>
      </c>
      <c r="B5" t="s">
        <v>0</v>
      </c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</row>
    <row r="7" spans="1:14" ht="1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</row>
    <row r="8" spans="1:14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2"/>
    </row>
    <row r="9" spans="1:14" ht="12.7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5"/>
    </row>
    <row r="10" spans="1:14" ht="12.75">
      <c r="A10" s="5" t="s">
        <v>15</v>
      </c>
      <c r="B10" s="16">
        <v>1300</v>
      </c>
      <c r="C10" s="16">
        <v>1300</v>
      </c>
      <c r="D10" s="16">
        <v>1300</v>
      </c>
      <c r="E10" s="16">
        <v>1300</v>
      </c>
      <c r="F10" s="16">
        <v>1300</v>
      </c>
      <c r="G10" s="16">
        <v>1300</v>
      </c>
      <c r="H10" s="16">
        <v>1300</v>
      </c>
      <c r="I10" s="16">
        <v>1300</v>
      </c>
      <c r="J10" s="16">
        <v>1300</v>
      </c>
      <c r="K10" s="16">
        <v>1300</v>
      </c>
      <c r="L10" s="16">
        <v>1300</v>
      </c>
      <c r="M10" s="17">
        <v>1300</v>
      </c>
      <c r="N10" s="18">
        <f>SUM(B10:M10)</f>
        <v>15600</v>
      </c>
    </row>
    <row r="11" spans="1:14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</row>
    <row r="12" spans="1:14" ht="12.75">
      <c r="A12" s="5" t="s">
        <v>16</v>
      </c>
      <c r="B12" s="16">
        <v>733.99</v>
      </c>
      <c r="C12" s="16"/>
      <c r="D12" s="16">
        <v>698.85</v>
      </c>
      <c r="E12" s="16"/>
      <c r="F12" s="16">
        <f>755.82</f>
        <v>755.82</v>
      </c>
      <c r="G12" s="16"/>
      <c r="H12" s="16">
        <v>694.04</v>
      </c>
      <c r="I12" s="16"/>
      <c r="J12" s="16">
        <v>900.41</v>
      </c>
      <c r="K12" s="16"/>
      <c r="L12" s="16">
        <v>918.75</v>
      </c>
      <c r="M12" s="17"/>
      <c r="N12" s="18">
        <f>SUM(B12:M12)</f>
        <v>4701.86</v>
      </c>
    </row>
    <row r="13" spans="1:14" ht="12.75">
      <c r="A13" s="5" t="s">
        <v>17</v>
      </c>
      <c r="B13" s="16"/>
      <c r="C13" s="16"/>
      <c r="D13" s="16"/>
      <c r="E13" s="16"/>
      <c r="F13" s="16"/>
      <c r="G13" s="16"/>
      <c r="H13" s="16"/>
      <c r="I13" s="16"/>
      <c r="J13" s="16">
        <v>1970.56</v>
      </c>
      <c r="K13" s="16"/>
      <c r="L13" s="16"/>
      <c r="M13" s="17"/>
      <c r="N13" s="18">
        <f>SUM(B13:M13)</f>
        <v>1970.56</v>
      </c>
    </row>
    <row r="14" spans="1:14" ht="12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8"/>
    </row>
    <row r="15" spans="1:14" ht="12.75">
      <c r="A15" s="5" t="s">
        <v>18</v>
      </c>
      <c r="B15" s="16">
        <v>782.61</v>
      </c>
      <c r="C15" s="16">
        <f>391.3+260.87</f>
        <v>652.1700000000001</v>
      </c>
      <c r="D15" s="16">
        <v>652.17</v>
      </c>
      <c r="E15" s="16">
        <v>652.17</v>
      </c>
      <c r="F15" s="16">
        <f>678.26+417.39</f>
        <v>1095.65</v>
      </c>
      <c r="G15" s="16">
        <v>730.44</v>
      </c>
      <c r="H15" s="16">
        <v>730.42</v>
      </c>
      <c r="I15" s="16">
        <v>730.44</v>
      </c>
      <c r="J15" s="16">
        <v>730.44</v>
      </c>
      <c r="K15" s="16"/>
      <c r="L15" s="16">
        <v>469.57</v>
      </c>
      <c r="M15" s="17">
        <v>469.57</v>
      </c>
      <c r="N15" s="18">
        <f>SUM(B15:M15)</f>
        <v>7695.650000000001</v>
      </c>
    </row>
    <row r="16" spans="1:14" ht="12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</row>
    <row r="17" spans="1:14" ht="12.75">
      <c r="A17" s="5" t="s">
        <v>19</v>
      </c>
      <c r="B17" s="16"/>
      <c r="C17" s="16">
        <v>1280</v>
      </c>
      <c r="D17" s="16"/>
      <c r="E17" s="16"/>
      <c r="F17" s="16"/>
      <c r="G17" s="16"/>
      <c r="H17" s="16"/>
      <c r="I17" s="16"/>
      <c r="J17" s="16"/>
      <c r="K17" s="16"/>
      <c r="L17" s="16">
        <v>1733.4</v>
      </c>
      <c r="M17" s="17"/>
      <c r="N17" s="18">
        <f>SUM(B17:M17)</f>
        <v>3013.4</v>
      </c>
    </row>
    <row r="18" spans="1:14" ht="12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</row>
    <row r="19" spans="1:14" ht="12.75">
      <c r="A19" s="5" t="s">
        <v>20</v>
      </c>
      <c r="B19" s="16">
        <f>292.8+99.17</f>
        <v>391.97</v>
      </c>
      <c r="C19" s="16">
        <v>45.01</v>
      </c>
      <c r="D19" s="16">
        <v>97.93</v>
      </c>
      <c r="E19" s="16">
        <v>613.84</v>
      </c>
      <c r="F19" s="16">
        <v>483.57</v>
      </c>
      <c r="G19" s="16">
        <v>203.04</v>
      </c>
      <c r="H19" s="16">
        <v>360.08</v>
      </c>
      <c r="I19" s="16">
        <v>225.9</v>
      </c>
      <c r="J19" s="16">
        <v>66.47</v>
      </c>
      <c r="K19" s="16">
        <v>837.21</v>
      </c>
      <c r="L19" s="16">
        <v>171.3</v>
      </c>
      <c r="M19" s="17">
        <v>80.66</v>
      </c>
      <c r="N19" s="18">
        <f>SUM(B19:M19)</f>
        <v>3576.9799999999996</v>
      </c>
    </row>
    <row r="20" spans="1:14" ht="12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8"/>
    </row>
    <row r="21" spans="1:14" ht="12.75">
      <c r="A21" s="5" t="s">
        <v>21</v>
      </c>
      <c r="B21" s="16">
        <v>546</v>
      </c>
      <c r="C21" s="16">
        <v>545</v>
      </c>
      <c r="D21" s="16">
        <v>545</v>
      </c>
      <c r="E21" s="16">
        <v>545</v>
      </c>
      <c r="F21" s="16">
        <v>545</v>
      </c>
      <c r="G21" s="16">
        <v>545.9</v>
      </c>
      <c r="H21" s="16">
        <v>545</v>
      </c>
      <c r="I21" s="16">
        <v>545</v>
      </c>
      <c r="J21" s="16">
        <v>545</v>
      </c>
      <c r="K21" s="16">
        <v>545</v>
      </c>
      <c r="L21" s="16">
        <v>545</v>
      </c>
      <c r="M21" s="17">
        <v>545</v>
      </c>
      <c r="N21" s="18">
        <f>SUM(B21:M21)</f>
        <v>6541.9</v>
      </c>
    </row>
    <row r="22" spans="1:14" ht="12.75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</row>
    <row r="23" spans="1:14" ht="12.75">
      <c r="A23" s="5" t="s">
        <v>22</v>
      </c>
      <c r="B23" s="16"/>
      <c r="C23" s="16"/>
      <c r="D23" s="16">
        <v>4793.64</v>
      </c>
      <c r="E23" s="16"/>
      <c r="F23" s="16"/>
      <c r="G23" s="16"/>
      <c r="H23" s="16"/>
      <c r="I23" s="16"/>
      <c r="J23" s="16"/>
      <c r="K23" s="16"/>
      <c r="L23" s="16"/>
      <c r="M23" s="17"/>
      <c r="N23" s="18">
        <f>SUM(B23:M23)</f>
        <v>4793.64</v>
      </c>
    </row>
    <row r="24" spans="1:14" ht="12.75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</row>
    <row r="25" spans="1:14" ht="12.75">
      <c r="A25" s="5" t="s">
        <v>23</v>
      </c>
      <c r="B25" s="16" t="s">
        <v>24</v>
      </c>
      <c r="C25" s="16">
        <v>1076</v>
      </c>
      <c r="D25" s="16"/>
      <c r="E25" s="16"/>
      <c r="F25" s="16"/>
      <c r="G25" s="16"/>
      <c r="H25" s="16"/>
      <c r="I25" s="16">
        <v>1076</v>
      </c>
      <c r="J25" s="16"/>
      <c r="K25" s="16"/>
      <c r="L25" s="16"/>
      <c r="M25" s="17"/>
      <c r="N25" s="18">
        <f>SUM(B25:M25)</f>
        <v>2152</v>
      </c>
    </row>
    <row r="26" spans="1:14" ht="12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</row>
    <row r="27" spans="1:14" ht="12.75">
      <c r="A27" s="5" t="s">
        <v>25</v>
      </c>
      <c r="B27" s="16">
        <v>3281.2</v>
      </c>
      <c r="C27" s="16">
        <v>3443.98</v>
      </c>
      <c r="D27" s="16">
        <v>3312.87</v>
      </c>
      <c r="E27" s="16">
        <v>3075.08</v>
      </c>
      <c r="F27" s="16">
        <v>2993.91</v>
      </c>
      <c r="G27" s="16">
        <v>3373.11</v>
      </c>
      <c r="H27" s="16">
        <v>3522.48</v>
      </c>
      <c r="I27" s="16">
        <v>3201.97</v>
      </c>
      <c r="J27" s="16">
        <v>2709.05</v>
      </c>
      <c r="K27" s="16">
        <v>3114.37</v>
      </c>
      <c r="L27" s="16">
        <v>3114.58</v>
      </c>
      <c r="M27" s="17">
        <v>4316.55</v>
      </c>
      <c r="N27" s="18">
        <f>SUM(B27:M27)</f>
        <v>39459.15</v>
      </c>
    </row>
    <row r="28" spans="1:14" ht="12.7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</row>
    <row r="29" spans="1:14" ht="12.75">
      <c r="A29" s="5" t="s">
        <v>26</v>
      </c>
      <c r="B29" s="16">
        <v>8776.64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>
        <v>7540.37</v>
      </c>
      <c r="N29" s="18">
        <f>SUM(B29:M29)</f>
        <v>16317.009999999998</v>
      </c>
    </row>
    <row r="30" spans="1:14" ht="12.75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5"/>
    </row>
    <row r="31" spans="1:14" ht="12.75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1"/>
      <c r="N31" s="4"/>
    </row>
    <row r="32" spans="1:14" ht="12.75">
      <c r="A32" s="22"/>
      <c r="B32" s="16">
        <f>SUM(B10:B29)</f>
        <v>15812.41</v>
      </c>
      <c r="C32" s="16">
        <f>SUM(C10:C29)</f>
        <v>8342.16</v>
      </c>
      <c r="D32" s="16">
        <f>SUM(D10:D29)</f>
        <v>11400.46</v>
      </c>
      <c r="E32" s="16">
        <f>SUM(E10:E29)</f>
        <v>6186.09</v>
      </c>
      <c r="F32" s="16">
        <f>SUM(F10:F29)</f>
        <v>7173.950000000001</v>
      </c>
      <c r="G32" s="16">
        <f>SUM(G10:G29)</f>
        <v>6152.49</v>
      </c>
      <c r="H32" s="16">
        <f>SUM(H10:H29)</f>
        <v>7152.02</v>
      </c>
      <c r="I32" s="16">
        <f>SUM(I10:I29)</f>
        <v>7079.3099999999995</v>
      </c>
      <c r="J32" s="16">
        <f>SUM(J10:J29)</f>
        <v>8221.93</v>
      </c>
      <c r="K32" s="16">
        <f>SUM(K10:K29)</f>
        <v>5796.58</v>
      </c>
      <c r="L32" s="16">
        <f>SUM(L10:L29)</f>
        <v>8252.6</v>
      </c>
      <c r="M32" s="23">
        <f>SUM(M10:M29)</f>
        <v>14252.150000000001</v>
      </c>
      <c r="N32" s="18">
        <f>SUM(N10:N29)</f>
        <v>105822.15</v>
      </c>
    </row>
    <row r="33" spans="1:14" ht="12.75">
      <c r="A33" s="2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5"/>
      <c r="N33" s="12"/>
    </row>
    <row r="49" spans="1:2" ht="12.75">
      <c r="A49">
        <v>2008</v>
      </c>
      <c r="B49" t="s">
        <v>27</v>
      </c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"/>
    </row>
    <row r="51" spans="1:14" ht="12.75">
      <c r="A51" s="5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10</v>
      </c>
      <c r="K51" s="6" t="s">
        <v>11</v>
      </c>
      <c r="L51" s="6" t="s">
        <v>12</v>
      </c>
      <c r="M51" s="7" t="s">
        <v>13</v>
      </c>
      <c r="N51" s="8" t="s">
        <v>14</v>
      </c>
    </row>
    <row r="52" spans="1:14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2"/>
    </row>
    <row r="53" spans="1:14" ht="12.7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5"/>
    </row>
    <row r="54" spans="1:14" ht="12.75">
      <c r="A54" s="5" t="s">
        <v>15</v>
      </c>
      <c r="B54" s="16">
        <v>800</v>
      </c>
      <c r="C54" s="16">
        <v>800</v>
      </c>
      <c r="D54" s="16">
        <v>800</v>
      </c>
      <c r="E54" s="16">
        <v>800</v>
      </c>
      <c r="F54" s="16">
        <v>800</v>
      </c>
      <c r="G54" s="16">
        <v>800</v>
      </c>
      <c r="H54" s="16">
        <v>800</v>
      </c>
      <c r="I54" s="16">
        <v>800</v>
      </c>
      <c r="J54" s="16">
        <v>800</v>
      </c>
      <c r="K54" s="16">
        <v>800</v>
      </c>
      <c r="L54" s="16">
        <v>800</v>
      </c>
      <c r="M54" s="17">
        <v>800</v>
      </c>
      <c r="N54" s="18">
        <f>SUM(B54:M54)</f>
        <v>9600</v>
      </c>
    </row>
    <row r="55" spans="1:14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8"/>
    </row>
    <row r="56" spans="1:14" ht="12.75">
      <c r="A56" s="5" t="s">
        <v>16</v>
      </c>
      <c r="B56" s="16">
        <v>606.68</v>
      </c>
      <c r="C56" s="16"/>
      <c r="D56" s="16">
        <v>634.05</v>
      </c>
      <c r="E56" s="16"/>
      <c r="F56" s="16">
        <v>593.13</v>
      </c>
      <c r="G56" s="16"/>
      <c r="H56" s="16">
        <v>490.73</v>
      </c>
      <c r="I56" s="16"/>
      <c r="J56" s="16">
        <v>570.23</v>
      </c>
      <c r="K56" s="16"/>
      <c r="L56" s="16">
        <v>619.85</v>
      </c>
      <c r="M56" s="17"/>
      <c r="N56" s="18">
        <f>SUM(B56:M56)</f>
        <v>3514.6699999999996</v>
      </c>
    </row>
    <row r="57" spans="1:14" ht="12.75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8"/>
    </row>
    <row r="58" spans="1:14" ht="12.75">
      <c r="A58" s="5" t="s">
        <v>18</v>
      </c>
      <c r="B58" s="16">
        <v>586.96</v>
      </c>
      <c r="C58" s="16">
        <v>489.13</v>
      </c>
      <c r="D58" s="16">
        <v>489.13</v>
      </c>
      <c r="E58" s="16">
        <v>489.13</v>
      </c>
      <c r="F58" s="16">
        <f>508.69+313.04</f>
        <v>821.73</v>
      </c>
      <c r="G58" s="16">
        <v>547.82</v>
      </c>
      <c r="H58" s="16">
        <v>547.82</v>
      </c>
      <c r="I58" s="16">
        <v>547.82</v>
      </c>
      <c r="J58" s="16">
        <v>547.82</v>
      </c>
      <c r="K58" s="16"/>
      <c r="L58" s="16">
        <v>352.17</v>
      </c>
      <c r="M58" s="17">
        <v>352.17</v>
      </c>
      <c r="N58" s="18">
        <f>SUM(B58:M58)</f>
        <v>5771.700000000001</v>
      </c>
    </row>
    <row r="59" spans="1:14" ht="12.75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8"/>
    </row>
    <row r="60" spans="1:14" ht="12.75">
      <c r="A60" s="5" t="s">
        <v>19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>
        <v>1139.55</v>
      </c>
      <c r="M60" s="17"/>
      <c r="N60" s="18">
        <f>SUM(B60:M60)</f>
        <v>1139.55</v>
      </c>
    </row>
    <row r="61" spans="1:14" ht="12.75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</row>
    <row r="62" spans="1:14" ht="12.75">
      <c r="A62" s="5" t="s">
        <v>20</v>
      </c>
      <c r="B62" s="16">
        <v>333.57</v>
      </c>
      <c r="C62" s="16"/>
      <c r="D62" s="16">
        <v>17.95</v>
      </c>
      <c r="E62" s="16">
        <v>104.33</v>
      </c>
      <c r="F62" s="16">
        <v>380.52</v>
      </c>
      <c r="G62" s="16"/>
      <c r="H62" s="16"/>
      <c r="I62" s="16"/>
      <c r="J62" s="16">
        <v>60</v>
      </c>
      <c r="K62" s="16"/>
      <c r="L62" s="16"/>
      <c r="M62" s="17"/>
      <c r="N62" s="18">
        <f>SUM(B62:M62)</f>
        <v>896.3699999999999</v>
      </c>
    </row>
    <row r="63" spans="1:14" ht="12.75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</row>
    <row r="64" spans="1:14" ht="12.75">
      <c r="A64" s="5" t="s">
        <v>21</v>
      </c>
      <c r="B64" s="16">
        <v>214</v>
      </c>
      <c r="C64" s="16">
        <v>213</v>
      </c>
      <c r="D64" s="16">
        <v>213</v>
      </c>
      <c r="E64" s="16">
        <v>213</v>
      </c>
      <c r="F64" s="16">
        <v>213</v>
      </c>
      <c r="G64" s="16">
        <v>213</v>
      </c>
      <c r="H64" s="16">
        <v>213</v>
      </c>
      <c r="I64" s="16">
        <v>213</v>
      </c>
      <c r="J64" s="16">
        <v>213</v>
      </c>
      <c r="K64" s="16">
        <v>213</v>
      </c>
      <c r="L64" s="16">
        <v>213</v>
      </c>
      <c r="M64" s="17">
        <v>213</v>
      </c>
      <c r="N64" s="18">
        <f>SUM(B64:M64)</f>
        <v>2557</v>
      </c>
    </row>
    <row r="65" spans="1:14" ht="12.75">
      <c r="A65" s="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8"/>
    </row>
    <row r="66" spans="1:14" ht="12.75">
      <c r="A66" s="5" t="s">
        <v>23</v>
      </c>
      <c r="B66" s="16">
        <f>552.5+552.5</f>
        <v>1105</v>
      </c>
      <c r="C66" s="16">
        <v>533.2</v>
      </c>
      <c r="D66" s="16"/>
      <c r="E66" s="16"/>
      <c r="F66" s="16"/>
      <c r="G66" s="16"/>
      <c r="H66" s="16">
        <f>551+551</f>
        <v>1102</v>
      </c>
      <c r="I66" s="16">
        <v>532</v>
      </c>
      <c r="J66" s="16"/>
      <c r="K66" s="16"/>
      <c r="L66" s="16"/>
      <c r="M66" s="17"/>
      <c r="N66" s="18">
        <f>SUM(B66:M66)</f>
        <v>3272.2</v>
      </c>
    </row>
    <row r="67" spans="1:14" ht="12.75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</row>
    <row r="68" spans="1:14" ht="12.75">
      <c r="A68" s="5" t="s">
        <v>25</v>
      </c>
      <c r="B68" s="16">
        <v>1592.33</v>
      </c>
      <c r="C68" s="16">
        <v>1671.32</v>
      </c>
      <c r="D68" s="16">
        <v>1607.7</v>
      </c>
      <c r="E68" s="16">
        <v>1492.29</v>
      </c>
      <c r="F68" s="16">
        <v>1452.91</v>
      </c>
      <c r="G68" s="16">
        <v>1636.93</v>
      </c>
      <c r="H68" s="16">
        <v>1709.41</v>
      </c>
      <c r="I68" s="16">
        <v>1553.88</v>
      </c>
      <c r="J68" s="16">
        <v>1314.67</v>
      </c>
      <c r="K68" s="16">
        <v>1511.37</v>
      </c>
      <c r="L68" s="16">
        <v>1511.47</v>
      </c>
      <c r="M68" s="17">
        <v>2094.76</v>
      </c>
      <c r="N68" s="18">
        <f>SUM(B68:M68)</f>
        <v>19149.04</v>
      </c>
    </row>
    <row r="69" spans="1:14" ht="12.75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8"/>
    </row>
    <row r="70" spans="1:14" ht="12.75">
      <c r="A70" s="5" t="s">
        <v>26</v>
      </c>
      <c r="B70" s="16">
        <v>6151.43</v>
      </c>
      <c r="C70" s="16"/>
      <c r="D70" s="16">
        <v>381</v>
      </c>
      <c r="E70" s="16"/>
      <c r="F70" s="16"/>
      <c r="G70" s="16"/>
      <c r="H70" s="16"/>
      <c r="I70" s="16">
        <v>610</v>
      </c>
      <c r="J70" s="16"/>
      <c r="K70" s="16"/>
      <c r="L70" s="16"/>
      <c r="M70" s="17">
        <f>3659.24+141.45</f>
        <v>3800.6899999999996</v>
      </c>
      <c r="N70" s="18">
        <f>SUM(B70:M70)</f>
        <v>10943.119999999999</v>
      </c>
    </row>
    <row r="71" spans="1:14" ht="12.75">
      <c r="A71" s="5" t="s">
        <v>28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5"/>
    </row>
    <row r="72" spans="1:14" ht="12.75">
      <c r="A72" s="2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1"/>
      <c r="N72" s="4"/>
    </row>
    <row r="73" spans="1:14" ht="12.75">
      <c r="A73" s="22"/>
      <c r="B73" s="16">
        <f>SUM(B54:B70)</f>
        <v>11389.970000000001</v>
      </c>
      <c r="C73" s="16">
        <f>SUM(C54:C70)</f>
        <v>3706.6499999999996</v>
      </c>
      <c r="D73" s="16">
        <f>SUM(D54:D70)</f>
        <v>4142.83</v>
      </c>
      <c r="E73" s="16">
        <f>SUM(E54:E70)</f>
        <v>3098.75</v>
      </c>
      <c r="F73" s="16">
        <f>SUM(F54:F70)</f>
        <v>4261.29</v>
      </c>
      <c r="G73" s="16">
        <f>SUM(G54:G70)</f>
        <v>3197.75</v>
      </c>
      <c r="H73" s="16">
        <f>SUM(H54:H70)</f>
        <v>4862.96</v>
      </c>
      <c r="I73" s="16">
        <f>SUM(I54:I70)</f>
        <v>4256.700000000001</v>
      </c>
      <c r="J73" s="16">
        <f>SUM(J54:J70)</f>
        <v>3505.7200000000003</v>
      </c>
      <c r="K73" s="16">
        <f>SUM(K54:K70)</f>
        <v>2524.37</v>
      </c>
      <c r="L73" s="16">
        <f>SUM(L54:L70)</f>
        <v>4636.04</v>
      </c>
      <c r="M73" s="23">
        <f>SUM(M54:M70)</f>
        <v>7260.62</v>
      </c>
      <c r="N73" s="18">
        <f>SUM(N54:N70)</f>
        <v>56843.649999999994</v>
      </c>
    </row>
    <row r="74" spans="1:14" ht="12.75">
      <c r="A74" s="2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25"/>
      <c r="N74" s="12"/>
    </row>
    <row r="94" spans="1:2" ht="12.75">
      <c r="A94">
        <v>2008</v>
      </c>
      <c r="B94" t="s">
        <v>29</v>
      </c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"/>
    </row>
    <row r="96" spans="1:14" ht="12.75">
      <c r="A96" s="5" t="s">
        <v>1</v>
      </c>
      <c r="B96" s="6" t="s">
        <v>2</v>
      </c>
      <c r="C96" s="6" t="s">
        <v>3</v>
      </c>
      <c r="D96" s="6" t="s">
        <v>4</v>
      </c>
      <c r="E96" s="6" t="s">
        <v>5</v>
      </c>
      <c r="F96" s="6" t="s">
        <v>6</v>
      </c>
      <c r="G96" s="6" t="s">
        <v>7</v>
      </c>
      <c r="H96" s="6" t="s">
        <v>8</v>
      </c>
      <c r="I96" s="6" t="s">
        <v>9</v>
      </c>
      <c r="J96" s="6" t="s">
        <v>10</v>
      </c>
      <c r="K96" s="6" t="s">
        <v>11</v>
      </c>
      <c r="L96" s="6" t="s">
        <v>12</v>
      </c>
      <c r="M96" s="7" t="s">
        <v>13</v>
      </c>
      <c r="N96" s="8" t="s">
        <v>14</v>
      </c>
    </row>
    <row r="97" spans="1:14" ht="12.7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1"/>
      <c r="N97" s="12"/>
    </row>
    <row r="98" spans="1:14" ht="12.75">
      <c r="A98" s="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/>
      <c r="N98" s="15"/>
    </row>
    <row r="99" spans="1:14" ht="12.75">
      <c r="A99" s="5" t="s">
        <v>15</v>
      </c>
      <c r="B99" s="16">
        <v>180</v>
      </c>
      <c r="C99" s="16">
        <v>180</v>
      </c>
      <c r="D99" s="16">
        <v>180</v>
      </c>
      <c r="E99" s="16">
        <v>180</v>
      </c>
      <c r="F99" s="16">
        <v>180</v>
      </c>
      <c r="G99" s="16">
        <v>180</v>
      </c>
      <c r="H99" s="16">
        <v>180</v>
      </c>
      <c r="I99" s="16">
        <v>180</v>
      </c>
      <c r="J99" s="16">
        <v>180</v>
      </c>
      <c r="K99" s="16">
        <v>180</v>
      </c>
      <c r="L99" s="16">
        <v>180</v>
      </c>
      <c r="M99" s="17">
        <v>180</v>
      </c>
      <c r="N99" s="18">
        <f>SUM(B99:M99)</f>
        <v>2160</v>
      </c>
    </row>
    <row r="100" spans="1:14" ht="12.75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  <c r="N100" s="18"/>
    </row>
    <row r="101" spans="1:14" ht="12.75">
      <c r="A101" s="5" t="s">
        <v>16</v>
      </c>
      <c r="B101" s="16">
        <v>50.83</v>
      </c>
      <c r="C101" s="16"/>
      <c r="D101" s="16">
        <v>49.07</v>
      </c>
      <c r="E101" s="16"/>
      <c r="F101" s="16">
        <v>46.36</v>
      </c>
      <c r="G101" s="16"/>
      <c r="H101" s="16">
        <v>70.04</v>
      </c>
      <c r="I101" s="16"/>
      <c r="J101" s="16">
        <v>29.18</v>
      </c>
      <c r="K101" s="16"/>
      <c r="L101" s="16">
        <v>30.84</v>
      </c>
      <c r="M101" s="17"/>
      <c r="N101" s="18">
        <f>SUM(B101:M101)</f>
        <v>276.32000000000005</v>
      </c>
    </row>
    <row r="102" spans="1:14" ht="12.75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8"/>
    </row>
    <row r="103" spans="1:14" ht="12.75">
      <c r="A103" s="5" t="s">
        <v>18</v>
      </c>
      <c r="B103" s="16">
        <v>130.43</v>
      </c>
      <c r="C103" s="16">
        <v>108.7</v>
      </c>
      <c r="D103" s="16">
        <v>108.7</v>
      </c>
      <c r="E103" s="16">
        <v>108.7</v>
      </c>
      <c r="F103" s="16">
        <v>182.62</v>
      </c>
      <c r="G103" s="16">
        <v>121.74</v>
      </c>
      <c r="H103" s="16">
        <v>121.76</v>
      </c>
      <c r="I103" s="16">
        <v>121.74</v>
      </c>
      <c r="J103" s="16">
        <v>121.74</v>
      </c>
      <c r="K103" s="16"/>
      <c r="L103" s="16">
        <v>78.26</v>
      </c>
      <c r="M103" s="17">
        <v>78.26</v>
      </c>
      <c r="N103" s="18">
        <f>SUM(B103:M103)</f>
        <v>1282.65</v>
      </c>
    </row>
    <row r="104" spans="1:14" ht="12.75">
      <c r="A104" s="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  <c r="N104" s="18"/>
    </row>
    <row r="105" spans="1:14" ht="12.75">
      <c r="A105" s="5" t="s">
        <v>19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>
        <v>192.6</v>
      </c>
      <c r="M105" s="17"/>
      <c r="N105" s="18">
        <f>SUM(B105:M105)</f>
        <v>192.6</v>
      </c>
    </row>
    <row r="106" spans="1:14" ht="12.75">
      <c r="A106" s="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  <c r="N106" s="18"/>
    </row>
    <row r="107" spans="1:14" ht="12.75">
      <c r="A107" s="5" t="s">
        <v>20</v>
      </c>
      <c r="B107" s="16"/>
      <c r="C107" s="16"/>
      <c r="D107" s="16">
        <v>3.99</v>
      </c>
      <c r="E107" s="16">
        <v>23.19</v>
      </c>
      <c r="F107" s="16"/>
      <c r="G107" s="16"/>
      <c r="H107" s="16"/>
      <c r="I107" s="16"/>
      <c r="J107" s="16"/>
      <c r="K107" s="16">
        <v>50.02</v>
      </c>
      <c r="L107" s="16"/>
      <c r="M107" s="17"/>
      <c r="N107" s="18">
        <f>SUM(B107:M107)</f>
        <v>77.2</v>
      </c>
    </row>
    <row r="108" spans="1:14" ht="12.75">
      <c r="A108" s="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18"/>
    </row>
    <row r="109" spans="1:14" ht="12.75">
      <c r="A109" s="5" t="s">
        <v>21</v>
      </c>
      <c r="B109" s="16">
        <v>49</v>
      </c>
      <c r="C109" s="16">
        <v>49</v>
      </c>
      <c r="D109" s="16">
        <v>49</v>
      </c>
      <c r="E109" s="16">
        <v>49</v>
      </c>
      <c r="F109" s="16">
        <v>49</v>
      </c>
      <c r="G109" s="16">
        <v>49</v>
      </c>
      <c r="H109" s="16">
        <v>49</v>
      </c>
      <c r="I109" s="16">
        <v>49</v>
      </c>
      <c r="J109" s="16">
        <v>49</v>
      </c>
      <c r="K109" s="16">
        <v>49</v>
      </c>
      <c r="L109" s="16">
        <v>49</v>
      </c>
      <c r="M109" s="17">
        <v>49</v>
      </c>
      <c r="N109" s="18">
        <f>SUM(B109:M109)</f>
        <v>588</v>
      </c>
    </row>
    <row r="110" spans="1:14" ht="12.75">
      <c r="A110" s="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8"/>
    </row>
    <row r="111" spans="1:14" ht="12.75">
      <c r="A111" s="5" t="s">
        <v>23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  <c r="N111" s="18">
        <f>SUM(B111:M111)</f>
        <v>0</v>
      </c>
    </row>
    <row r="112" spans="1:14" ht="12.75">
      <c r="A112" s="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  <c r="N112" s="18"/>
    </row>
    <row r="113" spans="1:14" ht="12.75">
      <c r="A113" s="5" t="s">
        <v>25</v>
      </c>
      <c r="B113" s="16">
        <v>302.48</v>
      </c>
      <c r="C113" s="16">
        <v>317.49</v>
      </c>
      <c r="D113" s="16">
        <v>305.4</v>
      </c>
      <c r="E113" s="16">
        <v>283.47</v>
      </c>
      <c r="F113" s="16">
        <v>275.99</v>
      </c>
      <c r="G113" s="16">
        <v>310.95</v>
      </c>
      <c r="H113" s="16">
        <v>324.72</v>
      </c>
      <c r="I113" s="16">
        <v>295.17</v>
      </c>
      <c r="J113" s="16">
        <v>249.73</v>
      </c>
      <c r="K113" s="16">
        <v>287.1</v>
      </c>
      <c r="L113" s="16">
        <v>287.12</v>
      </c>
      <c r="M113" s="17">
        <v>397.92</v>
      </c>
      <c r="N113" s="18">
        <f>SUM(B113:M113)</f>
        <v>3637.54</v>
      </c>
    </row>
    <row r="114" spans="1:14" ht="12.75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8"/>
    </row>
    <row r="115" spans="1:14" ht="12.75">
      <c r="A115" s="5" t="s">
        <v>26</v>
      </c>
      <c r="B115" s="16"/>
      <c r="C115" s="16"/>
      <c r="D115" s="16"/>
      <c r="E115" s="16"/>
      <c r="F115" s="16">
        <v>238</v>
      </c>
      <c r="G115" s="16"/>
      <c r="H115" s="16"/>
      <c r="I115" s="16"/>
      <c r="J115" s="16"/>
      <c r="K115" s="16"/>
      <c r="L115" s="16"/>
      <c r="M115" s="17">
        <f>695.11+877.97</f>
        <v>1573.08</v>
      </c>
      <c r="N115" s="18">
        <f>SUM(B115:M115)</f>
        <v>1811.08</v>
      </c>
    </row>
    <row r="116" spans="1:14" ht="12.75">
      <c r="A116" s="5" t="s">
        <v>30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  <c r="N116" s="15"/>
    </row>
    <row r="117" spans="1:14" ht="12.75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1"/>
      <c r="N117" s="4"/>
    </row>
    <row r="118" spans="1:14" ht="12.75">
      <c r="A118" s="22"/>
      <c r="B118" s="16">
        <f>SUM(B99:B115)</f>
        <v>712.74</v>
      </c>
      <c r="C118" s="16">
        <f>SUM(C99:C115)</f>
        <v>655.19</v>
      </c>
      <c r="D118" s="16">
        <f>SUM(D99:D115)</f>
        <v>696.16</v>
      </c>
      <c r="E118" s="16">
        <f>SUM(E99:E115)</f>
        <v>644.36</v>
      </c>
      <c r="F118" s="16">
        <f>SUM(F99:F115)</f>
        <v>971.97</v>
      </c>
      <c r="G118" s="16">
        <f>SUM(G99:G115)</f>
        <v>661.69</v>
      </c>
      <c r="H118" s="16">
        <f>SUM(H99:H115)</f>
        <v>745.52</v>
      </c>
      <c r="I118" s="16">
        <f>SUM(I99:I115)</f>
        <v>645.9100000000001</v>
      </c>
      <c r="J118" s="16">
        <f>SUM(J99:J115)</f>
        <v>629.65</v>
      </c>
      <c r="K118" s="16">
        <f>SUM(K99:K115)</f>
        <v>566.12</v>
      </c>
      <c r="L118" s="16">
        <f>SUM(L99:L115)</f>
        <v>817.8199999999999</v>
      </c>
      <c r="M118" s="23">
        <f>SUM(M99:M115)</f>
        <v>2278.26</v>
      </c>
      <c r="N118" s="18">
        <f>SUM(N99:N115)</f>
        <v>10025.39</v>
      </c>
    </row>
    <row r="119" spans="1:14" ht="12.75">
      <c r="A119" s="2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25"/>
      <c r="N119" s="12"/>
    </row>
    <row r="138" spans="1:2" ht="12.75">
      <c r="A138">
        <v>2008</v>
      </c>
      <c r="B138" t="s">
        <v>31</v>
      </c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</row>
    <row r="141" spans="1:14" ht="12.75">
      <c r="A141" s="5" t="s">
        <v>1</v>
      </c>
      <c r="B141" s="6" t="s">
        <v>2</v>
      </c>
      <c r="C141" s="6" t="s">
        <v>3</v>
      </c>
      <c r="D141" s="6" t="s">
        <v>4</v>
      </c>
      <c r="E141" s="6" t="s">
        <v>5</v>
      </c>
      <c r="F141" s="6" t="s">
        <v>6</v>
      </c>
      <c r="G141" s="6" t="s">
        <v>7</v>
      </c>
      <c r="H141" s="6" t="s">
        <v>8</v>
      </c>
      <c r="I141" s="6" t="s">
        <v>9</v>
      </c>
      <c r="J141" s="6" t="s">
        <v>10</v>
      </c>
      <c r="K141" s="6" t="s">
        <v>11</v>
      </c>
      <c r="L141" s="6" t="s">
        <v>12</v>
      </c>
      <c r="M141" s="7" t="s">
        <v>13</v>
      </c>
      <c r="N141" s="8" t="s">
        <v>14</v>
      </c>
    </row>
    <row r="142" spans="1:14" ht="12.75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1"/>
      <c r="N142" s="12"/>
    </row>
    <row r="143" spans="1:14" ht="12.75">
      <c r="A143" s="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4"/>
      <c r="N143" s="15"/>
    </row>
    <row r="144" spans="1:14" ht="12.75">
      <c r="A144" s="5" t="s">
        <v>32</v>
      </c>
      <c r="B144" s="16">
        <v>305</v>
      </c>
      <c r="C144" s="16">
        <v>305</v>
      </c>
      <c r="D144" s="16">
        <v>305</v>
      </c>
      <c r="E144" s="16">
        <v>305</v>
      </c>
      <c r="F144" s="16">
        <v>305</v>
      </c>
      <c r="G144" s="16">
        <v>305</v>
      </c>
      <c r="H144" s="16">
        <f>305+61+366+373.32</f>
        <v>1105.32</v>
      </c>
      <c r="I144" s="16">
        <v>305</v>
      </c>
      <c r="J144" s="16">
        <v>305</v>
      </c>
      <c r="K144" s="16">
        <v>305</v>
      </c>
      <c r="L144" s="16">
        <f>305+240</f>
        <v>545</v>
      </c>
      <c r="M144" s="17">
        <f>305+317.2+490.44</f>
        <v>1112.64</v>
      </c>
      <c r="N144" s="18">
        <f>SUM(B144:M144)</f>
        <v>5507.96</v>
      </c>
    </row>
    <row r="145" spans="1:14" ht="12.75">
      <c r="A145" s="19" t="s">
        <v>33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7"/>
      <c r="N145" s="18"/>
    </row>
    <row r="146" spans="1:14" ht="12.75">
      <c r="A146" s="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7"/>
      <c r="N146" s="18"/>
    </row>
    <row r="147" spans="1:14" ht="12.75">
      <c r="A147" s="5" t="s">
        <v>34</v>
      </c>
      <c r="B147" s="16">
        <v>976</v>
      </c>
      <c r="C147" s="16">
        <v>976</v>
      </c>
      <c r="D147" s="16">
        <v>976</v>
      </c>
      <c r="E147" s="16">
        <v>976</v>
      </c>
      <c r="F147" s="16">
        <v>976</v>
      </c>
      <c r="G147" s="16">
        <v>976</v>
      </c>
      <c r="H147" s="16">
        <v>976</v>
      </c>
      <c r="I147" s="16">
        <v>976</v>
      </c>
      <c r="J147" s="16">
        <v>976</v>
      </c>
      <c r="K147" s="16">
        <v>976</v>
      </c>
      <c r="L147" s="16">
        <v>976</v>
      </c>
      <c r="M147" s="17">
        <v>976</v>
      </c>
      <c r="N147" s="18">
        <f>SUM(B147:M147)</f>
        <v>11712</v>
      </c>
    </row>
    <row r="148" spans="1:14" ht="12.75">
      <c r="A148" s="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7"/>
      <c r="N148" s="18"/>
    </row>
    <row r="149" spans="1:14" ht="12.75">
      <c r="A149" s="5" t="s">
        <v>35</v>
      </c>
      <c r="B149" s="16">
        <v>122</v>
      </c>
      <c r="C149" s="16">
        <v>122</v>
      </c>
      <c r="D149" s="16">
        <v>122</v>
      </c>
      <c r="E149" s="16">
        <v>122</v>
      </c>
      <c r="F149" s="16">
        <v>122</v>
      </c>
      <c r="G149" s="16">
        <v>122</v>
      </c>
      <c r="H149" s="16">
        <v>122</v>
      </c>
      <c r="I149" s="16">
        <v>122</v>
      </c>
      <c r="J149" s="16">
        <v>122</v>
      </c>
      <c r="K149" s="16">
        <v>122</v>
      </c>
      <c r="L149" s="16">
        <v>122</v>
      </c>
      <c r="M149" s="17">
        <v>122</v>
      </c>
      <c r="N149" s="18">
        <f>SUM(B149:M149)</f>
        <v>1464</v>
      </c>
    </row>
    <row r="150" spans="1:14" ht="12.75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7"/>
      <c r="N150" s="18"/>
    </row>
    <row r="151" spans="1:14" ht="12.75">
      <c r="A151" s="5" t="s">
        <v>36</v>
      </c>
      <c r="B151" s="16"/>
      <c r="C151" s="16"/>
      <c r="D151" s="16"/>
      <c r="E151" s="16"/>
      <c r="F151" s="16"/>
      <c r="G151" s="16">
        <v>298</v>
      </c>
      <c r="H151" s="16"/>
      <c r="I151" s="16"/>
      <c r="J151" s="16"/>
      <c r="K151" s="16"/>
      <c r="L151" s="16"/>
      <c r="M151" s="17">
        <f>1450+135</f>
        <v>1585</v>
      </c>
      <c r="N151" s="18">
        <f>SUM(B151:M151)</f>
        <v>1883</v>
      </c>
    </row>
    <row r="152" spans="1:14" ht="12.75">
      <c r="A152" s="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7"/>
      <c r="N152" s="18"/>
    </row>
    <row r="153" spans="1:14" ht="12.75">
      <c r="A153" s="5" t="s">
        <v>16</v>
      </c>
      <c r="B153" s="16">
        <v>132.03</v>
      </c>
      <c r="C153" s="16"/>
      <c r="D153" s="16">
        <v>82.51</v>
      </c>
      <c r="E153" s="16"/>
      <c r="F153" s="16">
        <v>75.25</v>
      </c>
      <c r="G153" s="16"/>
      <c r="H153" s="16">
        <v>139.52</v>
      </c>
      <c r="I153" s="16"/>
      <c r="J153" s="16">
        <f>118.79+591.17</f>
        <v>709.9599999999999</v>
      </c>
      <c r="K153" s="16"/>
      <c r="L153" s="16">
        <v>100.28</v>
      </c>
      <c r="M153" s="17"/>
      <c r="N153" s="18">
        <f>SUM(B153:M153)</f>
        <v>1239.55</v>
      </c>
    </row>
    <row r="154" spans="1:14" ht="12.75">
      <c r="A154" s="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7"/>
      <c r="N154" s="18"/>
    </row>
    <row r="155" spans="1:14" ht="12.75">
      <c r="A155" s="5" t="s">
        <v>37</v>
      </c>
      <c r="B155" s="16">
        <f>17.46+120.78+187+153.79+95.15</f>
        <v>574.18</v>
      </c>
      <c r="C155" s="16">
        <f>150.84+187+64+405.44</f>
        <v>807.28</v>
      </c>
      <c r="D155" s="16">
        <f>222.86</f>
        <v>222.86</v>
      </c>
      <c r="E155" s="16">
        <f>120.84+187+199.26</f>
        <v>507.1</v>
      </c>
      <c r="F155" s="16"/>
      <c r="G155" s="16">
        <f>169.81</f>
        <v>169.81</v>
      </c>
      <c r="H155" s="16">
        <f>187</f>
        <v>187</v>
      </c>
      <c r="I155" s="16">
        <f>1743+222.05+100</f>
        <v>2065.05</v>
      </c>
      <c r="J155" s="16">
        <f>103.04+187+91.26+49.93</f>
        <v>431.23</v>
      </c>
      <c r="K155" s="16">
        <f>20.72+101.72+187</f>
        <v>309.44</v>
      </c>
      <c r="L155" s="16">
        <f>122.24+77.61</f>
        <v>199.85</v>
      </c>
      <c r="M155" s="17">
        <f>38.25+105.9+1900</f>
        <v>2044.15</v>
      </c>
      <c r="N155" s="18">
        <f>SUM(B155:M155)</f>
        <v>7517.950000000001</v>
      </c>
    </row>
    <row r="156" spans="1:14" ht="12.75">
      <c r="A156" s="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7"/>
      <c r="N156" s="18"/>
    </row>
    <row r="157" spans="1:14" ht="12.75">
      <c r="A157" s="5" t="s">
        <v>38</v>
      </c>
      <c r="B157" s="16">
        <f>53.36+62.61+280.73+61</f>
        <v>457.70000000000005</v>
      </c>
      <c r="C157" s="16">
        <f>52+60.13+326.53+131.2</f>
        <v>569.8599999999999</v>
      </c>
      <c r="D157" s="16">
        <f>101.85+59.78+254.61+61</f>
        <v>477.24</v>
      </c>
      <c r="E157" s="16">
        <f>69.1+59.78+325.56+61</f>
        <v>515.44</v>
      </c>
      <c r="F157" s="16">
        <f>81.64+343.61+61+59.78</f>
        <v>546.03</v>
      </c>
      <c r="G157" s="16">
        <f>53.49+59.78+347.21+61</f>
        <v>521.48</v>
      </c>
      <c r="H157" s="16">
        <f>60.13+296.05+61+56.96</f>
        <v>474.14</v>
      </c>
      <c r="I157" s="16">
        <f>89.26+61.55+431.9+61.88</f>
        <v>644.59</v>
      </c>
      <c r="J157" s="16">
        <f>42.24+60.13+340.53+92.77</f>
        <v>535.67</v>
      </c>
      <c r="K157" s="16">
        <f>61.55+447.35+61+96.84</f>
        <v>666.7400000000001</v>
      </c>
      <c r="L157" s="16">
        <f>111.54+326.94+152.48+59.78</f>
        <v>650.74</v>
      </c>
      <c r="M157" s="17">
        <f>66.93+59.78+410.73+71.09</f>
        <v>608.5300000000001</v>
      </c>
      <c r="N157" s="18">
        <f>SUM(B157:M157)</f>
        <v>6668.159999999999</v>
      </c>
    </row>
    <row r="158" spans="1:14" ht="12.75">
      <c r="A158" s="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7"/>
      <c r="N158" s="18"/>
    </row>
    <row r="159" spans="1:14" ht="12.75">
      <c r="A159" s="5" t="s">
        <v>39</v>
      </c>
      <c r="B159" s="16">
        <f>84.5+79.5</f>
        <v>164</v>
      </c>
      <c r="C159" s="16">
        <v>40.75</v>
      </c>
      <c r="D159" s="16">
        <v>71.5</v>
      </c>
      <c r="E159" s="16">
        <f>94.5+27.85</f>
        <v>122.35</v>
      </c>
      <c r="F159" s="16"/>
      <c r="G159" s="16">
        <f>81+9.45+9.45+30+43.95</f>
        <v>173.85000000000002</v>
      </c>
      <c r="H159" s="16">
        <f>67.5+5</f>
        <v>72.5</v>
      </c>
      <c r="I159" s="16">
        <f>76.15+11.75</f>
        <v>87.9</v>
      </c>
      <c r="J159" s="16">
        <v>44.35</v>
      </c>
      <c r="K159" s="16">
        <f>74.8</f>
        <v>74.8</v>
      </c>
      <c r="L159" s="16">
        <f>38.4+72.5</f>
        <v>110.9</v>
      </c>
      <c r="M159" s="17">
        <f>27+30+43.5</f>
        <v>100.5</v>
      </c>
      <c r="N159" s="18">
        <f>SUM(B159:M159)</f>
        <v>1063.4</v>
      </c>
    </row>
    <row r="160" spans="1:14" ht="12.75">
      <c r="A160" s="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7"/>
      <c r="N160" s="18"/>
    </row>
    <row r="161" spans="1:14" ht="12.75">
      <c r="A161" s="5" t="s">
        <v>40</v>
      </c>
      <c r="B161" s="16">
        <v>4000</v>
      </c>
      <c r="C161" s="16">
        <v>4000</v>
      </c>
      <c r="D161" s="16">
        <v>3964.55</v>
      </c>
      <c r="E161" s="16">
        <v>4000</v>
      </c>
      <c r="F161" s="16">
        <v>4000</v>
      </c>
      <c r="G161" s="16">
        <v>3952.93</v>
      </c>
      <c r="H161" s="16">
        <v>4440.89</v>
      </c>
      <c r="I161" s="16">
        <v>2969.9</v>
      </c>
      <c r="J161" s="16">
        <v>2970</v>
      </c>
      <c r="K161" s="16">
        <f>2970+1600</f>
        <v>4570</v>
      </c>
      <c r="L161" s="16">
        <f>2970+1600</f>
        <v>4570</v>
      </c>
      <c r="M161" s="17">
        <f>2970+1600</f>
        <v>4570</v>
      </c>
      <c r="N161" s="18">
        <f>SUM(B161:M161)</f>
        <v>48008.270000000004</v>
      </c>
    </row>
    <row r="162" spans="1:14" ht="12.75">
      <c r="A162" s="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7"/>
      <c r="N162" s="18"/>
    </row>
    <row r="163" spans="1:14" ht="12.75">
      <c r="A163" s="5" t="s">
        <v>41</v>
      </c>
      <c r="B163" s="16">
        <v>824.4</v>
      </c>
      <c r="C163" s="16">
        <v>744.4</v>
      </c>
      <c r="D163" s="16">
        <f>744.4+540</f>
        <v>1284.4</v>
      </c>
      <c r="E163" s="16">
        <v>713</v>
      </c>
      <c r="F163" s="16">
        <v>744.4</v>
      </c>
      <c r="G163" s="16">
        <v>744.4</v>
      </c>
      <c r="H163" s="16">
        <v>680.5</v>
      </c>
      <c r="I163" s="16">
        <v>552.7</v>
      </c>
      <c r="J163" s="16">
        <v>552.79</v>
      </c>
      <c r="K163" s="16">
        <v>552.72</v>
      </c>
      <c r="L163" s="16">
        <v>552.72</v>
      </c>
      <c r="M163" s="17">
        <f>552.72+600</f>
        <v>1152.72</v>
      </c>
      <c r="N163" s="18">
        <f>SUM(B163:M163)</f>
        <v>9099.15</v>
      </c>
    </row>
    <row r="164" spans="1:14" ht="12.75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7"/>
      <c r="N164" s="18"/>
    </row>
    <row r="165" spans="1:14" ht="12.75">
      <c r="A165" s="5" t="s">
        <v>42</v>
      </c>
      <c r="B165" s="16"/>
      <c r="C165" s="16">
        <v>250</v>
      </c>
      <c r="D165" s="16">
        <v>250</v>
      </c>
      <c r="E165" s="16">
        <v>250</v>
      </c>
      <c r="F165" s="16">
        <v>250</v>
      </c>
      <c r="G165" s="16">
        <f>250+250+137.91</f>
        <v>637.91</v>
      </c>
      <c r="H165" s="16"/>
      <c r="I165" s="16">
        <f>250</f>
        <v>250</v>
      </c>
      <c r="J165" s="16"/>
      <c r="K165" s="16">
        <f>250+250</f>
        <v>500</v>
      </c>
      <c r="L165" s="16">
        <v>250</v>
      </c>
      <c r="M165" s="17">
        <v>194</v>
      </c>
      <c r="N165" s="18">
        <f>SUM(B165:M165)</f>
        <v>2831.91</v>
      </c>
    </row>
    <row r="166" spans="1:14" ht="12.75">
      <c r="A166" s="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7"/>
      <c r="N166" s="18"/>
    </row>
    <row r="167" spans="1:14" ht="12.75">
      <c r="A167" s="5" t="s">
        <v>23</v>
      </c>
      <c r="B167" s="16"/>
      <c r="C167" s="16">
        <v>367</v>
      </c>
      <c r="D167" s="16"/>
      <c r="E167" s="16"/>
      <c r="F167" s="16"/>
      <c r="G167" s="16"/>
      <c r="H167" s="16"/>
      <c r="I167" s="16">
        <v>361</v>
      </c>
      <c r="J167" s="16"/>
      <c r="K167" s="16"/>
      <c r="L167" s="16"/>
      <c r="M167" s="17"/>
      <c r="N167" s="18">
        <f>SUM(B167:M167)</f>
        <v>728</v>
      </c>
    </row>
    <row r="168" spans="1:14" ht="12.75">
      <c r="A168" s="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7"/>
      <c r="N168" s="18"/>
    </row>
    <row r="169" spans="1:14" ht="12.75">
      <c r="A169" s="5" t="s">
        <v>43</v>
      </c>
      <c r="B169" s="16">
        <v>61</v>
      </c>
      <c r="C169" s="16">
        <v>60</v>
      </c>
      <c r="D169" s="16">
        <v>60</v>
      </c>
      <c r="E169" s="16">
        <v>60</v>
      </c>
      <c r="F169" s="16">
        <v>60</v>
      </c>
      <c r="G169" s="16">
        <v>60</v>
      </c>
      <c r="H169" s="16">
        <v>60</v>
      </c>
      <c r="I169" s="16">
        <v>60</v>
      </c>
      <c r="J169" s="16">
        <v>60</v>
      </c>
      <c r="K169" s="16">
        <v>60</v>
      </c>
      <c r="L169" s="16">
        <v>60</v>
      </c>
      <c r="M169" s="17">
        <v>60</v>
      </c>
      <c r="N169" s="18">
        <f>SUM(B169:M169)</f>
        <v>721</v>
      </c>
    </row>
    <row r="170" spans="1:14" ht="12.75">
      <c r="A170" s="5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/>
      <c r="N170" s="15"/>
    </row>
    <row r="171" spans="1:14" ht="12.75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1"/>
      <c r="N171" s="4"/>
    </row>
    <row r="172" spans="1:14" ht="12.75">
      <c r="A172" s="22"/>
      <c r="B172" s="16">
        <f>SUM(B144:B169)</f>
        <v>7616.3099999999995</v>
      </c>
      <c r="C172" s="16">
        <f>SUM(C144:C169)</f>
        <v>8242.289999999999</v>
      </c>
      <c r="D172" s="16">
        <f>SUM(D144:D169)</f>
        <v>7816.0599999999995</v>
      </c>
      <c r="E172" s="16">
        <f>SUM(E144:E169)</f>
        <v>7570.889999999999</v>
      </c>
      <c r="F172" s="16">
        <f>SUM(F144:F169)</f>
        <v>7078.679999999999</v>
      </c>
      <c r="G172" s="16">
        <f>SUM(G144:G169)</f>
        <v>7961.379999999999</v>
      </c>
      <c r="H172" s="16">
        <f>SUM(H144:H169)</f>
        <v>8257.87</v>
      </c>
      <c r="I172" s="16">
        <f>SUM(I144:I169)</f>
        <v>8394.14</v>
      </c>
      <c r="J172" s="16">
        <f>SUM(J144:J169)</f>
        <v>6707</v>
      </c>
      <c r="K172" s="16">
        <f>SUM(K144:K169)</f>
        <v>8136.700000000001</v>
      </c>
      <c r="L172" s="16">
        <f>SUM(L144:L169)</f>
        <v>8137.490000000001</v>
      </c>
      <c r="M172" s="23">
        <f>SUM(M144:M169)</f>
        <v>12525.539999999999</v>
      </c>
      <c r="N172" s="18">
        <f>SUM(N144:N169)</f>
        <v>98444.35</v>
      </c>
    </row>
    <row r="173" spans="1:14" ht="12.75">
      <c r="A173" s="2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5"/>
      <c r="N173" s="12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6"/>
  <sheetViews>
    <sheetView zoomScale="81" zoomScaleNormal="81" workbookViewId="0" topLeftCell="A115">
      <selection activeCell="B76" sqref="B76"/>
    </sheetView>
  </sheetViews>
  <sheetFormatPr defaultColWidth="12.57421875" defaultRowHeight="12.75"/>
  <cols>
    <col min="1" max="1" width="23.00390625" style="0" customWidth="1"/>
    <col min="2" max="2" width="10.140625" style="0" customWidth="1"/>
    <col min="3" max="3" width="11.140625" style="0" customWidth="1"/>
    <col min="4" max="5" width="10.140625" style="0" customWidth="1"/>
    <col min="6" max="8" width="9.00390625" style="0" customWidth="1"/>
    <col min="9" max="9" width="10.140625" style="0" customWidth="1"/>
    <col min="10" max="11" width="9.00390625" style="0" customWidth="1"/>
    <col min="12" max="12" width="10.140625" style="0" customWidth="1"/>
    <col min="13" max="13" width="9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6384" width="11.57421875" style="0" customWidth="1"/>
  </cols>
  <sheetData>
    <row r="1" ht="12.75">
      <c r="M1" s="26" t="s">
        <v>44</v>
      </c>
    </row>
    <row r="2" spans="1:13" ht="12.75">
      <c r="A2">
        <v>2009</v>
      </c>
      <c r="B2" t="s">
        <v>0</v>
      </c>
      <c r="M2" s="27" t="s">
        <v>45</v>
      </c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28"/>
      <c r="P3" s="29" t="s">
        <v>46</v>
      </c>
      <c r="Q3" s="30"/>
    </row>
    <row r="4" spans="1:17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  <c r="N4" s="8" t="s">
        <v>14</v>
      </c>
      <c r="O4" s="31" t="s">
        <v>47</v>
      </c>
      <c r="P4" s="32"/>
      <c r="Q4" s="33" t="s">
        <v>47</v>
      </c>
    </row>
    <row r="5" spans="1:17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34"/>
      <c r="P5" s="32" t="s">
        <v>48</v>
      </c>
      <c r="Q5" s="35" t="s">
        <v>49</v>
      </c>
    </row>
    <row r="6" spans="1:17" ht="12.75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31"/>
      <c r="P6" s="36"/>
      <c r="Q6" s="37"/>
    </row>
    <row r="7" spans="1:17" ht="12.75">
      <c r="A7" s="5" t="s">
        <v>15</v>
      </c>
      <c r="B7" s="16">
        <v>1342.7</v>
      </c>
      <c r="C7" s="16">
        <v>1342.7</v>
      </c>
      <c r="D7" s="16">
        <v>1371.9</v>
      </c>
      <c r="E7" s="16">
        <v>1342.7</v>
      </c>
      <c r="F7" s="16">
        <v>1342.7</v>
      </c>
      <c r="G7" s="16">
        <v>1382.6</v>
      </c>
      <c r="H7" s="16">
        <v>1226</v>
      </c>
      <c r="I7" s="16">
        <v>1482.6</v>
      </c>
      <c r="J7" s="16">
        <v>1648.6</v>
      </c>
      <c r="K7" s="16">
        <v>1382.6</v>
      </c>
      <c r="L7" s="16">
        <v>1382.6</v>
      </c>
      <c r="M7" s="17">
        <v>1382.6</v>
      </c>
      <c r="N7" s="18">
        <f>SUM(B7:M7)</f>
        <v>16630.300000000003</v>
      </c>
      <c r="O7" s="31">
        <f>N7/6756/12</f>
        <v>0.20513000789421754</v>
      </c>
      <c r="P7" s="38">
        <v>17300</v>
      </c>
      <c r="Q7" s="39">
        <f>P7/6756/12</f>
        <v>0.2133905664101046</v>
      </c>
    </row>
    <row r="8" spans="1:17" ht="12.75">
      <c r="A8" s="1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  <c r="O8" s="31"/>
      <c r="P8" s="38"/>
      <c r="Q8" s="39"/>
    </row>
    <row r="9" spans="1:17" ht="12.75">
      <c r="A9" s="5" t="s">
        <v>16</v>
      </c>
      <c r="B9" s="16">
        <v>1018.47</v>
      </c>
      <c r="C9" s="16"/>
      <c r="D9" s="16">
        <v>989.04</v>
      </c>
      <c r="E9" s="16"/>
      <c r="F9" s="16">
        <v>937.85</v>
      </c>
      <c r="G9" s="16"/>
      <c r="H9" s="16">
        <v>575.53</v>
      </c>
      <c r="I9" s="16"/>
      <c r="J9" s="16">
        <v>606.9</v>
      </c>
      <c r="K9" s="16"/>
      <c r="L9" s="16">
        <v>959</v>
      </c>
      <c r="M9" s="17"/>
      <c r="N9" s="18">
        <f>SUM(B9:M9)</f>
        <v>5086.79</v>
      </c>
      <c r="O9" s="31">
        <f>N9/6756/12</f>
        <v>0.06274410400631537</v>
      </c>
      <c r="P9" s="38">
        <v>5200</v>
      </c>
      <c r="Q9" s="39">
        <f>P9/6756/12</f>
        <v>0.06414051707124531</v>
      </c>
    </row>
    <row r="10" spans="1:17" ht="12.7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31"/>
      <c r="P10" s="38"/>
      <c r="Q10" s="39"/>
    </row>
    <row r="11" spans="1:17" ht="12.75">
      <c r="A11" s="5" t="s">
        <v>50</v>
      </c>
      <c r="B11" s="16"/>
      <c r="C11" s="16"/>
      <c r="D11" s="16"/>
      <c r="E11" s="16"/>
      <c r="F11" s="16"/>
      <c r="G11" s="16"/>
      <c r="H11" s="16"/>
      <c r="I11" s="16">
        <v>2176.35</v>
      </c>
      <c r="J11" s="16"/>
      <c r="K11" s="16"/>
      <c r="L11" s="16"/>
      <c r="M11" s="17"/>
      <c r="N11" s="18">
        <f>SUM(B11:M11)</f>
        <v>2176.35</v>
      </c>
      <c r="O11" s="31">
        <f>N11/6756/12</f>
        <v>0.026844656601539372</v>
      </c>
      <c r="P11" s="38">
        <v>2200</v>
      </c>
      <c r="Q11" s="39">
        <f>P11/6756/12</f>
        <v>0.027136372607065324</v>
      </c>
    </row>
    <row r="12" spans="1:17" ht="12.7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31"/>
      <c r="P12" s="38"/>
      <c r="Q12" s="39"/>
    </row>
    <row r="13" spans="1:17" ht="12.75">
      <c r="A13" s="5" t="s">
        <v>18</v>
      </c>
      <c r="B13" s="16">
        <v>1143.48</v>
      </c>
      <c r="C13" s="16">
        <v>1430.5</v>
      </c>
      <c r="D13" s="16">
        <v>939.1</v>
      </c>
      <c r="E13" s="16">
        <v>1617.44</v>
      </c>
      <c r="F13" s="16">
        <v>939.13</v>
      </c>
      <c r="G13" s="16">
        <v>1017.39</v>
      </c>
      <c r="H13" s="16">
        <v>861</v>
      </c>
      <c r="I13" s="16">
        <v>939</v>
      </c>
      <c r="J13" s="16">
        <v>939.17</v>
      </c>
      <c r="K13" s="16">
        <v>939.13</v>
      </c>
      <c r="L13" s="16">
        <v>939.16</v>
      </c>
      <c r="M13" s="17">
        <v>939.16</v>
      </c>
      <c r="N13" s="18">
        <f>SUM(B13:M13)</f>
        <v>12643.659999999998</v>
      </c>
      <c r="O13" s="31">
        <f>N13/6756/12</f>
        <v>0.15595594039865796</v>
      </c>
      <c r="P13" s="38">
        <v>12000</v>
      </c>
      <c r="Q13" s="39">
        <f>P13/6756/12</f>
        <v>0.14801657785671996</v>
      </c>
    </row>
    <row r="14" spans="1:17" ht="12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8"/>
      <c r="O14" s="31"/>
      <c r="P14" s="38"/>
      <c r="Q14" s="39"/>
    </row>
    <row r="15" spans="1:17" ht="12.75">
      <c r="A15" s="5" t="s">
        <v>19</v>
      </c>
      <c r="B15" s="16"/>
      <c r="C15" s="16"/>
      <c r="D15" s="16">
        <v>1280</v>
      </c>
      <c r="E15" s="16"/>
      <c r="F15" s="16"/>
      <c r="G15" s="16"/>
      <c r="H15" s="16"/>
      <c r="I15" s="16"/>
      <c r="J15" s="16">
        <v>1119</v>
      </c>
      <c r="K15" s="16"/>
      <c r="L15" s="16">
        <v>1829.7</v>
      </c>
      <c r="M15" s="17"/>
      <c r="N15" s="18">
        <f>SUM(B15:M15)</f>
        <v>4228.7</v>
      </c>
      <c r="O15" s="31">
        <f>N15/6756/12</f>
        <v>0.05215980856522597</v>
      </c>
      <c r="P15" s="38">
        <v>4500</v>
      </c>
      <c r="Q15" s="39">
        <f>P15/6756/12</f>
        <v>0.05550621669626998</v>
      </c>
    </row>
    <row r="16" spans="1:17" ht="12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O16" s="31"/>
      <c r="P16" s="38"/>
      <c r="Q16" s="39"/>
    </row>
    <row r="17" spans="1:17" ht="12.75">
      <c r="A17" s="5" t="s">
        <v>20</v>
      </c>
      <c r="B17" s="16">
        <v>371.16</v>
      </c>
      <c r="C17" s="16"/>
      <c r="D17" s="16">
        <v>102.26</v>
      </c>
      <c r="E17" s="16"/>
      <c r="F17" s="16">
        <v>156.99</v>
      </c>
      <c r="G17" s="16">
        <v>272.67</v>
      </c>
      <c r="H17" s="16">
        <v>189.94</v>
      </c>
      <c r="I17" s="16">
        <v>147.11</v>
      </c>
      <c r="J17" s="16">
        <v>555.54</v>
      </c>
      <c r="K17" s="16">
        <v>48.65</v>
      </c>
      <c r="L17" s="16">
        <v>532.54</v>
      </c>
      <c r="M17" s="17">
        <v>597.86</v>
      </c>
      <c r="N17" s="18">
        <f>SUM(B17:M17)</f>
        <v>2974.7200000000003</v>
      </c>
      <c r="O17" s="31">
        <f>N17/6756/12</f>
        <v>0.03669232287349517</v>
      </c>
      <c r="P17" s="38">
        <v>1000</v>
      </c>
      <c r="Q17" s="39">
        <f>P17/6756/12</f>
        <v>0.01233471482139333</v>
      </c>
    </row>
    <row r="18" spans="1:17" ht="12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31"/>
      <c r="P18" s="38"/>
      <c r="Q18" s="39"/>
    </row>
    <row r="19" spans="1:17" ht="12.75">
      <c r="A19" s="5" t="s">
        <v>21</v>
      </c>
      <c r="B19" s="16">
        <v>559</v>
      </c>
      <c r="C19" s="16">
        <v>559</v>
      </c>
      <c r="D19" s="16">
        <v>559</v>
      </c>
      <c r="E19" s="16">
        <v>559</v>
      </c>
      <c r="F19" s="16">
        <v>559</v>
      </c>
      <c r="G19" s="16">
        <v>559</v>
      </c>
      <c r="H19" s="16">
        <v>559</v>
      </c>
      <c r="I19" s="16">
        <v>559</v>
      </c>
      <c r="J19" s="16">
        <v>436</v>
      </c>
      <c r="K19" s="16">
        <v>428</v>
      </c>
      <c r="L19" s="16">
        <v>428</v>
      </c>
      <c r="M19" s="17">
        <v>420</v>
      </c>
      <c r="N19" s="18">
        <f>SUM(B19:M19)</f>
        <v>6184</v>
      </c>
      <c r="O19" s="31">
        <f>N19/6756/12</f>
        <v>0.07627787645549634</v>
      </c>
      <c r="P19" s="38">
        <v>5800</v>
      </c>
      <c r="Q19" s="39">
        <f>P19/6386/12</f>
        <v>0.0756863973274872</v>
      </c>
    </row>
    <row r="20" spans="1:17" ht="12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8"/>
      <c r="O20" s="31"/>
      <c r="P20" s="38"/>
      <c r="Q20" s="39"/>
    </row>
    <row r="21" spans="1:17" ht="12.75">
      <c r="A21" s="5" t="s">
        <v>22</v>
      </c>
      <c r="B21" s="16"/>
      <c r="C21" s="16"/>
      <c r="D21" s="16">
        <v>4793.64</v>
      </c>
      <c r="E21" s="16"/>
      <c r="F21" s="16"/>
      <c r="G21" s="16"/>
      <c r="H21" s="16"/>
      <c r="I21" s="16"/>
      <c r="J21" s="16"/>
      <c r="K21" s="16"/>
      <c r="L21" s="16"/>
      <c r="M21" s="17"/>
      <c r="N21" s="18">
        <f>SUM(B21:M21)</f>
        <v>4793.64</v>
      </c>
      <c r="O21" s="31">
        <f>N21/6756/12</f>
        <v>0.05912818235642392</v>
      </c>
      <c r="P21" s="38">
        <v>11800</v>
      </c>
      <c r="Q21" s="39">
        <f>P21/6386/12</f>
        <v>0.15398267042488778</v>
      </c>
    </row>
    <row r="22" spans="1:17" ht="12.75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31"/>
      <c r="P22" s="38"/>
      <c r="Q22" s="39"/>
    </row>
    <row r="23" spans="1:17" ht="12.75">
      <c r="A23" s="5" t="s">
        <v>23</v>
      </c>
      <c r="B23" s="16"/>
      <c r="C23" s="16">
        <v>1111</v>
      </c>
      <c r="D23" s="16"/>
      <c r="E23" s="16"/>
      <c r="F23" s="16"/>
      <c r="G23" s="16"/>
      <c r="H23" s="16">
        <v>299.41</v>
      </c>
      <c r="I23" s="16">
        <v>1110</v>
      </c>
      <c r="J23" s="16"/>
      <c r="K23" s="16"/>
      <c r="L23" s="16"/>
      <c r="M23" s="17"/>
      <c r="N23" s="18">
        <f>SUM(B23:M23)</f>
        <v>2520.41</v>
      </c>
      <c r="O23" s="31">
        <f>N23/6756/12</f>
        <v>0.03108853858298796</v>
      </c>
      <c r="P23" s="38">
        <v>2500</v>
      </c>
      <c r="Q23" s="39">
        <f>P23/6756/12</f>
        <v>0.030836787053483323</v>
      </c>
    </row>
    <row r="24" spans="1:17" ht="12.75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  <c r="O24" s="31"/>
      <c r="P24" s="38"/>
      <c r="Q24" s="39"/>
    </row>
    <row r="25" spans="1:17" ht="12.75">
      <c r="A25" s="5" t="s">
        <v>51</v>
      </c>
      <c r="B25" s="16"/>
      <c r="C25" s="16"/>
      <c r="D25" s="16">
        <v>17</v>
      </c>
      <c r="E25" s="16">
        <v>6192.4</v>
      </c>
      <c r="F25" s="16"/>
      <c r="G25" s="16"/>
      <c r="H25" s="16">
        <v>415.52</v>
      </c>
      <c r="I25" s="16"/>
      <c r="J25" s="16"/>
      <c r="K25" s="16"/>
      <c r="L25" s="16"/>
      <c r="M25" s="17"/>
      <c r="N25" s="18">
        <f>SUM(B25:M25)</f>
        <v>6624.92</v>
      </c>
      <c r="O25" s="31">
        <f>N25/6756/12</f>
        <v>0.08171649891454509</v>
      </c>
      <c r="P25" s="38">
        <v>0</v>
      </c>
      <c r="Q25" s="40">
        <f>P25/6756/12</f>
        <v>0</v>
      </c>
    </row>
    <row r="26" spans="1:17" ht="12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  <c r="O26" s="31"/>
      <c r="P26" s="38"/>
      <c r="Q26" s="39"/>
    </row>
    <row r="27" spans="1:17" ht="12.75">
      <c r="A27" s="5" t="s">
        <v>25</v>
      </c>
      <c r="B27" s="16">
        <v>3661.61</v>
      </c>
      <c r="C27" s="16">
        <v>2794.53</v>
      </c>
      <c r="D27" s="16">
        <v>2934.08</v>
      </c>
      <c r="E27" s="16">
        <v>3377.69</v>
      </c>
      <c r="F27" s="16">
        <v>3348.48</v>
      </c>
      <c r="G27" s="16">
        <v>3669.44</v>
      </c>
      <c r="H27" s="16">
        <v>4145.03</v>
      </c>
      <c r="I27" s="16">
        <v>4148.01</v>
      </c>
      <c r="J27" s="16">
        <v>3288.82</v>
      </c>
      <c r="K27" s="16">
        <v>3527.88</v>
      </c>
      <c r="L27" s="16">
        <v>3498.78</v>
      </c>
      <c r="M27" s="17">
        <v>3726.84</v>
      </c>
      <c r="N27" s="18">
        <f>SUM(B27:M27)</f>
        <v>42121.19</v>
      </c>
      <c r="O27" s="31">
        <f>N27/6756/12</f>
        <v>0.5195528665877246</v>
      </c>
      <c r="P27" s="38">
        <v>45800</v>
      </c>
      <c r="Q27" s="39">
        <f>P27/6756/12</f>
        <v>0.5649299388198145</v>
      </c>
    </row>
    <row r="28" spans="1:17" ht="12.7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31"/>
      <c r="P28" s="38"/>
      <c r="Q28" s="39"/>
    </row>
    <row r="29" spans="1:17" ht="12.75">
      <c r="A29" s="5" t="s">
        <v>52</v>
      </c>
      <c r="B29" s="16">
        <v>1076.46</v>
      </c>
      <c r="C29" s="16">
        <v>82.11</v>
      </c>
      <c r="D29" s="16">
        <v>603.35</v>
      </c>
      <c r="E29" s="16">
        <v>1278</v>
      </c>
      <c r="F29" s="16">
        <v>1211.81</v>
      </c>
      <c r="G29" s="16">
        <v>597.38</v>
      </c>
      <c r="H29" s="16">
        <v>1139.19</v>
      </c>
      <c r="I29" s="16">
        <v>24.89</v>
      </c>
      <c r="J29" s="16">
        <v>984.26</v>
      </c>
      <c r="K29" s="16">
        <v>33.25</v>
      </c>
      <c r="L29" s="16">
        <v>748.13</v>
      </c>
      <c r="M29" s="17">
        <v>377.43</v>
      </c>
      <c r="N29" s="18">
        <f>SUM(B29:M29)</f>
        <v>8156.260000000001</v>
      </c>
      <c r="O29" s="41">
        <f>N29/6756/12</f>
        <v>0.10060514110913758</v>
      </c>
      <c r="P29" s="38">
        <v>8200</v>
      </c>
      <c r="Q29" s="40">
        <f>P29/6756/12</f>
        <v>0.1011446615354253</v>
      </c>
    </row>
    <row r="30" spans="1:17" ht="12.75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8"/>
      <c r="O30" s="31"/>
      <c r="P30" s="38"/>
      <c r="Q30" s="39"/>
    </row>
    <row r="31" spans="1:17" ht="12.75">
      <c r="A31" s="5" t="s">
        <v>53</v>
      </c>
      <c r="B31" s="16">
        <v>677.93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>
        <f>SUM(B31:M31)</f>
        <v>677.93</v>
      </c>
      <c r="O31" s="31">
        <f>N31/6756/12</f>
        <v>0.008362073218867179</v>
      </c>
      <c r="P31" s="38">
        <v>4000</v>
      </c>
      <c r="Q31" s="39">
        <f>P31/6756/12</f>
        <v>0.04933885928557332</v>
      </c>
    </row>
    <row r="32" spans="1:17" ht="12.75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31"/>
      <c r="P32" s="42"/>
      <c r="Q32" s="43"/>
    </row>
    <row r="33" spans="1:17" ht="12.75">
      <c r="A33" s="2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1"/>
      <c r="N33" s="4"/>
      <c r="O33" s="28"/>
      <c r="P33" s="44"/>
      <c r="Q33" s="33"/>
    </row>
    <row r="34" spans="1:17" ht="12.75">
      <c r="A34" s="22"/>
      <c r="B34" s="16">
        <f>SUM(B7:B31)</f>
        <v>9850.81</v>
      </c>
      <c r="C34" s="16">
        <f>SUM(C7:C31)</f>
        <v>7319.84</v>
      </c>
      <c r="D34" s="16">
        <f>SUM(D7:D31)</f>
        <v>13589.37</v>
      </c>
      <c r="E34" s="16">
        <f>SUM(E7:E31)</f>
        <v>14367.230000000001</v>
      </c>
      <c r="F34" s="16">
        <f>SUM(F7:F31)</f>
        <v>8495.960000000001</v>
      </c>
      <c r="G34" s="16">
        <f>SUM(G7:G31)</f>
        <v>7498.48</v>
      </c>
      <c r="H34" s="16">
        <f>SUM(H7:H31)</f>
        <v>9410.62</v>
      </c>
      <c r="I34" s="16">
        <f>SUM(I7:I31)</f>
        <v>10586.960000000001</v>
      </c>
      <c r="J34" s="16">
        <f>SUM(J7:J31)</f>
        <v>9578.29</v>
      </c>
      <c r="K34" s="16">
        <f>SUM(K7:K31)</f>
        <v>6359.51</v>
      </c>
      <c r="L34" s="16">
        <f>SUM(L7:L31)</f>
        <v>10317.91</v>
      </c>
      <c r="M34" s="23">
        <f>SUM(M7:M31)</f>
        <v>7443.890000000001</v>
      </c>
      <c r="N34" s="18">
        <f>SUM(N7:N31)</f>
        <v>114818.87</v>
      </c>
      <c r="O34" s="18">
        <f>SUM(O7:O31)</f>
        <v>1.416258017564634</v>
      </c>
      <c r="P34" s="44">
        <f>SUM(P7:P31)</f>
        <v>120300</v>
      </c>
      <c r="Q34" s="45">
        <f>SUM(Q7:Q31)</f>
        <v>1.4964442799094697</v>
      </c>
    </row>
    <row r="35" spans="1:17" ht="12.75">
      <c r="A35" s="2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5"/>
      <c r="N35" s="12"/>
      <c r="O35" s="34"/>
      <c r="P35" s="46"/>
      <c r="Q35" s="43"/>
    </row>
    <row r="36" spans="1:17" ht="12.75">
      <c r="A36" s="4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8"/>
      <c r="O36" s="49"/>
      <c r="P36" s="50"/>
      <c r="Q36" s="51"/>
    </row>
    <row r="37" spans="1:17" ht="12.75">
      <c r="A37" s="5" t="s">
        <v>54</v>
      </c>
      <c r="B37" s="13"/>
      <c r="C37" s="13"/>
      <c r="D37" s="13"/>
      <c r="E37" s="13"/>
      <c r="F37" s="13"/>
      <c r="G37" s="13"/>
      <c r="H37" s="13"/>
      <c r="I37" s="13"/>
      <c r="J37" s="16">
        <f>(J34-J19-J21-J25)/6756*118</f>
        <v>159.67883658969805</v>
      </c>
      <c r="K37" s="16">
        <f>(K34-K19-K21-K25)/6756*181</f>
        <v>158.91108792184724</v>
      </c>
      <c r="L37" s="16">
        <f>(L34-L19-L21-L25)/6756*244</f>
        <v>357.1844345766726</v>
      </c>
      <c r="M37" s="16">
        <f>(M34-M19-M21-M25)/6756*307</f>
        <v>319.1732134399053</v>
      </c>
      <c r="N37" s="18">
        <f>N34-N29</f>
        <v>106662.61</v>
      </c>
      <c r="O37" s="52">
        <f>O34-O19-O21</f>
        <v>1.2808519587527138</v>
      </c>
      <c r="P37" s="53">
        <f>P34-P19-P21-P25</f>
        <v>102700</v>
      </c>
      <c r="Q37" s="52">
        <f>Q34-Q19-Q21-Q25</f>
        <v>1.2667752121570945</v>
      </c>
    </row>
    <row r="38" spans="1:17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2"/>
      <c r="O38" s="54"/>
      <c r="P38" s="55"/>
      <c r="Q38" s="56"/>
    </row>
    <row r="40" spans="1:17" ht="12.75">
      <c r="A40" t="s">
        <v>55</v>
      </c>
      <c r="J40" s="57">
        <v>118</v>
      </c>
      <c r="K40" s="57">
        <v>181</v>
      </c>
      <c r="L40" s="57">
        <v>244</v>
      </c>
      <c r="M40" s="57">
        <v>307</v>
      </c>
      <c r="P40" s="58"/>
      <c r="Q40" s="59"/>
    </row>
    <row r="41" spans="11:19" ht="12.75">
      <c r="K41" t="s">
        <v>24</v>
      </c>
      <c r="S41" s="60"/>
    </row>
    <row r="43" spans="1:14" ht="12.75">
      <c r="A43" t="s">
        <v>56</v>
      </c>
      <c r="J43">
        <v>159.68</v>
      </c>
      <c r="K43">
        <v>158.91</v>
      </c>
      <c r="L43">
        <v>357.18</v>
      </c>
      <c r="M43">
        <v>319.17</v>
      </c>
      <c r="N43" s="18">
        <f>SUM(J43:M44)</f>
        <v>1197.54</v>
      </c>
    </row>
    <row r="44" spans="1:14" ht="12.75">
      <c r="A44" t="s">
        <v>57</v>
      </c>
      <c r="J44">
        <v>98.16</v>
      </c>
      <c r="K44">
        <v>55.78</v>
      </c>
      <c r="L44">
        <v>24.41</v>
      </c>
      <c r="M44">
        <v>24.25</v>
      </c>
      <c r="N44" s="18"/>
    </row>
    <row r="46" ht="12.75">
      <c r="M46" s="26" t="s">
        <v>58</v>
      </c>
    </row>
    <row r="47" spans="1:13" ht="12.75">
      <c r="A47">
        <v>2009</v>
      </c>
      <c r="B47" t="s">
        <v>27</v>
      </c>
      <c r="M47" s="27" t="s">
        <v>45</v>
      </c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4"/>
      <c r="O48" s="28"/>
      <c r="P48" s="29" t="s">
        <v>46</v>
      </c>
      <c r="Q48" s="30"/>
    </row>
    <row r="49" spans="1:17" ht="12.75">
      <c r="A49" s="5" t="s">
        <v>1</v>
      </c>
      <c r="B49" s="6" t="s">
        <v>2</v>
      </c>
      <c r="C49" s="6" t="s">
        <v>3</v>
      </c>
      <c r="D49" s="6" t="s">
        <v>4</v>
      </c>
      <c r="E49" s="6" t="s">
        <v>5</v>
      </c>
      <c r="F49" s="6" t="s">
        <v>6</v>
      </c>
      <c r="G49" s="6" t="s">
        <v>7</v>
      </c>
      <c r="H49" s="6" t="s">
        <v>8</v>
      </c>
      <c r="I49" s="6" t="s">
        <v>9</v>
      </c>
      <c r="J49" s="6" t="s">
        <v>10</v>
      </c>
      <c r="K49" s="6" t="s">
        <v>11</v>
      </c>
      <c r="L49" s="6" t="s">
        <v>12</v>
      </c>
      <c r="M49" s="7" t="s">
        <v>13</v>
      </c>
      <c r="N49" s="8" t="s">
        <v>14</v>
      </c>
      <c r="O49" s="31" t="s">
        <v>47</v>
      </c>
      <c r="P49" s="32"/>
      <c r="Q49" s="33" t="s">
        <v>47</v>
      </c>
    </row>
    <row r="50" spans="1:17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2"/>
      <c r="O50" s="34"/>
      <c r="P50" s="32" t="s">
        <v>48</v>
      </c>
      <c r="Q50" s="35" t="s">
        <v>49</v>
      </c>
    </row>
    <row r="51" spans="1:17" ht="12.75">
      <c r="A51" s="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5"/>
      <c r="O51" s="31"/>
      <c r="P51" s="36"/>
      <c r="Q51" s="37"/>
    </row>
    <row r="52" spans="1:17" ht="12.75">
      <c r="A52" s="5" t="s">
        <v>15</v>
      </c>
      <c r="B52" s="16">
        <v>808.1</v>
      </c>
      <c r="C52" s="16">
        <v>808.1</v>
      </c>
      <c r="D52" s="16">
        <v>825.7</v>
      </c>
      <c r="E52" s="16">
        <v>808.1</v>
      </c>
      <c r="F52" s="16">
        <v>808.1</v>
      </c>
      <c r="G52" s="16">
        <v>1036.9</v>
      </c>
      <c r="H52" s="16">
        <v>920</v>
      </c>
      <c r="I52" s="16">
        <v>1036.9</v>
      </c>
      <c r="J52" s="16">
        <v>1036.9</v>
      </c>
      <c r="K52" s="16">
        <v>1036.9</v>
      </c>
      <c r="L52" s="16">
        <v>1037</v>
      </c>
      <c r="M52" s="17">
        <v>1037</v>
      </c>
      <c r="N52" s="18">
        <f>SUM(B52:M52)</f>
        <v>11199.699999999999</v>
      </c>
      <c r="O52" s="41">
        <f>N52/3276.8/12</f>
        <v>0.2848230997721354</v>
      </c>
      <c r="P52" s="38">
        <v>11500</v>
      </c>
      <c r="Q52" s="45">
        <f>P52/3276.8/12</f>
        <v>0.2924601236979167</v>
      </c>
    </row>
    <row r="53" spans="1:17" ht="12.75">
      <c r="A53" s="1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8"/>
      <c r="O53" s="41"/>
      <c r="P53" s="38"/>
      <c r="Q53" s="45"/>
    </row>
    <row r="54" spans="1:17" ht="12.75">
      <c r="A54" s="5" t="s">
        <v>16</v>
      </c>
      <c r="B54" s="16">
        <v>721.66</v>
      </c>
      <c r="C54" s="16"/>
      <c r="D54" s="16">
        <v>718.75</v>
      </c>
      <c r="E54" s="16"/>
      <c r="F54" s="16">
        <v>672.15</v>
      </c>
      <c r="G54" s="16"/>
      <c r="H54" s="16">
        <v>571</v>
      </c>
      <c r="I54" s="16"/>
      <c r="J54" s="16">
        <v>611.66</v>
      </c>
      <c r="K54" s="16"/>
      <c r="L54" s="16">
        <v>611.69</v>
      </c>
      <c r="M54" s="17"/>
      <c r="N54" s="18">
        <f>SUM(B54:M54)</f>
        <v>3906.91</v>
      </c>
      <c r="O54" s="41">
        <f>N54/3276.8/12</f>
        <v>0.09935785929361979</v>
      </c>
      <c r="P54" s="38">
        <v>4000</v>
      </c>
      <c r="Q54" s="45">
        <f>P54/3276.8/12</f>
        <v>0.10172526041666667</v>
      </c>
    </row>
    <row r="55" spans="1:17" ht="12.75">
      <c r="A55" s="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8"/>
      <c r="O55" s="41"/>
      <c r="P55" s="38"/>
      <c r="Q55" s="45"/>
    </row>
    <row r="56" spans="1:17" ht="12.75">
      <c r="A56" s="5" t="s">
        <v>18</v>
      </c>
      <c r="B56" s="16">
        <v>982.61</v>
      </c>
      <c r="C56" s="16">
        <v>547.8</v>
      </c>
      <c r="D56" s="16">
        <v>704.4</v>
      </c>
      <c r="E56" s="16">
        <v>1213.06</v>
      </c>
      <c r="F56" s="16">
        <v>704.35</v>
      </c>
      <c r="G56" s="16">
        <v>763.05</v>
      </c>
      <c r="H56" s="16">
        <v>646</v>
      </c>
      <c r="I56" s="16">
        <v>705</v>
      </c>
      <c r="J56" s="16">
        <v>704.35</v>
      </c>
      <c r="K56" s="16">
        <v>704.35</v>
      </c>
      <c r="L56" s="16">
        <v>704.3</v>
      </c>
      <c r="M56" s="17">
        <v>704.3</v>
      </c>
      <c r="N56" s="18">
        <f>SUM(B56:M56)</f>
        <v>9083.570000000002</v>
      </c>
      <c r="O56" s="41">
        <f>N56/3276.8/12</f>
        <v>0.23100713094075523</v>
      </c>
      <c r="P56" s="38">
        <v>8400</v>
      </c>
      <c r="Q56" s="45">
        <f>P56/3276.8/12</f>
        <v>0.213623046875</v>
      </c>
    </row>
    <row r="57" spans="1:17" ht="12.75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8"/>
      <c r="O57" s="41"/>
      <c r="P57" s="38"/>
      <c r="Q57" s="45"/>
    </row>
    <row r="58" spans="1:17" ht="12.75">
      <c r="A58" s="5" t="s">
        <v>19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>
        <v>1043.25</v>
      </c>
      <c r="M58" s="17"/>
      <c r="N58" s="18">
        <f>SUM(B58:M58)</f>
        <v>1043.25</v>
      </c>
      <c r="O58" s="41">
        <f>N58/3276.8/12</f>
        <v>0.026531219482421875</v>
      </c>
      <c r="P58" s="38">
        <v>1000</v>
      </c>
      <c r="Q58" s="45">
        <f>P58/3276.8/12</f>
        <v>0.025431315104166668</v>
      </c>
    </row>
    <row r="59" spans="1:17" ht="12.75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8"/>
      <c r="O59" s="41"/>
      <c r="P59" s="38"/>
      <c r="Q59" s="45"/>
    </row>
    <row r="60" spans="1:17" ht="12.75">
      <c r="A60" s="5" t="s">
        <v>20</v>
      </c>
      <c r="B60" s="16"/>
      <c r="C60" s="16"/>
      <c r="D60" s="16"/>
      <c r="E60" s="16">
        <v>146.4</v>
      </c>
      <c r="F60" s="16"/>
      <c r="G60" s="16"/>
      <c r="H60" s="16">
        <v>481.5</v>
      </c>
      <c r="I60" s="16"/>
      <c r="J60" s="16"/>
      <c r="K60" s="16">
        <v>82.9</v>
      </c>
      <c r="L60" s="16"/>
      <c r="M60" s="17"/>
      <c r="N60" s="18">
        <f>SUM(B60:M60)</f>
        <v>710.8</v>
      </c>
      <c r="O60" s="41">
        <f>N60/3276.8/12</f>
        <v>0.018076578776041664</v>
      </c>
      <c r="P60" s="38">
        <v>500</v>
      </c>
      <c r="Q60" s="45">
        <f>P60/3276.8/12</f>
        <v>0.012715657552083334</v>
      </c>
    </row>
    <row r="61" spans="1:17" ht="12.75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  <c r="O61" s="41"/>
      <c r="P61" s="38"/>
      <c r="Q61" s="45"/>
    </row>
    <row r="62" spans="1:17" ht="12.75">
      <c r="A62" s="5" t="s">
        <v>21</v>
      </c>
      <c r="B62" s="16">
        <v>220</v>
      </c>
      <c r="C62" s="16">
        <v>219</v>
      </c>
      <c r="D62" s="16">
        <v>219</v>
      </c>
      <c r="E62" s="16">
        <v>219</v>
      </c>
      <c r="F62" s="16">
        <v>219</v>
      </c>
      <c r="G62" s="16">
        <v>219</v>
      </c>
      <c r="H62" s="16">
        <v>219</v>
      </c>
      <c r="I62" s="16">
        <v>219</v>
      </c>
      <c r="J62" s="16">
        <v>219</v>
      </c>
      <c r="K62" s="16">
        <v>219</v>
      </c>
      <c r="L62" s="16">
        <v>191</v>
      </c>
      <c r="M62" s="17">
        <v>190</v>
      </c>
      <c r="N62" s="18">
        <f>SUM(B62:M62)</f>
        <v>2572</v>
      </c>
      <c r="O62" s="41">
        <f>N62/3276.8/12</f>
        <v>0.06540934244791667</v>
      </c>
      <c r="P62" s="38">
        <v>2800</v>
      </c>
      <c r="Q62" s="45">
        <f>P62/3276.8/12</f>
        <v>0.07120768229166667</v>
      </c>
    </row>
    <row r="63" spans="1:17" ht="12.75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  <c r="O63" s="41"/>
      <c r="P63" s="38"/>
      <c r="Q63" s="45"/>
    </row>
    <row r="64" spans="1:17" ht="12.75">
      <c r="A64" s="5" t="s">
        <v>23</v>
      </c>
      <c r="B64" s="16">
        <v>1156</v>
      </c>
      <c r="C64" s="16">
        <v>559</v>
      </c>
      <c r="D64" s="16"/>
      <c r="E64" s="16"/>
      <c r="F64" s="16"/>
      <c r="G64" s="16"/>
      <c r="H64" s="16">
        <v>1348.92</v>
      </c>
      <c r="I64" s="16">
        <v>558</v>
      </c>
      <c r="J64" s="16"/>
      <c r="K64" s="16"/>
      <c r="L64" s="16"/>
      <c r="M64" s="17"/>
      <c r="N64" s="18">
        <f>SUM(B64:M64)</f>
        <v>3621.92</v>
      </c>
      <c r="O64" s="41">
        <f>N64/3276.8/12</f>
        <v>0.09211018880208333</v>
      </c>
      <c r="P64" s="38">
        <v>3800</v>
      </c>
      <c r="Q64" s="45">
        <f>P64/3276.8/12</f>
        <v>0.09663899739583333</v>
      </c>
    </row>
    <row r="65" spans="1:17" ht="12.75">
      <c r="A65" s="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8"/>
      <c r="O65" s="41"/>
      <c r="P65" s="38"/>
      <c r="Q65" s="45"/>
    </row>
    <row r="66" spans="1:17" ht="12.75">
      <c r="A66" s="5" t="s">
        <v>25</v>
      </c>
      <c r="B66" s="16">
        <v>1776.93</v>
      </c>
      <c r="C66" s="16">
        <v>1356.14</v>
      </c>
      <c r="D66" s="16">
        <v>1423.88</v>
      </c>
      <c r="E66" s="16">
        <v>1639.15</v>
      </c>
      <c r="F66" s="16">
        <v>1624.97</v>
      </c>
      <c r="G66" s="16">
        <v>1780.73</v>
      </c>
      <c r="H66" s="16">
        <v>2011.53</v>
      </c>
      <c r="I66" s="16">
        <v>2012.98</v>
      </c>
      <c r="J66" s="16">
        <v>1596.03</v>
      </c>
      <c r="K66" s="16">
        <v>1712.04</v>
      </c>
      <c r="L66" s="16">
        <v>1697.91</v>
      </c>
      <c r="M66" s="17">
        <v>1808.59</v>
      </c>
      <c r="N66" s="18">
        <f>SUM(B66:M66)</f>
        <v>20440.88</v>
      </c>
      <c r="O66" s="41">
        <f>N66/3276.8/12</f>
        <v>0.5198384602864583</v>
      </c>
      <c r="P66" s="38">
        <v>21500</v>
      </c>
      <c r="Q66" s="45">
        <f>P66/3276.8/12</f>
        <v>0.5467732747395834</v>
      </c>
    </row>
    <row r="67" spans="1:17" ht="12.75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  <c r="O67" s="41"/>
      <c r="P67" s="38"/>
      <c r="Q67" s="45"/>
    </row>
    <row r="68" spans="1:17" ht="12.75">
      <c r="A68" s="5" t="s">
        <v>59</v>
      </c>
      <c r="B68" s="16">
        <v>522.39</v>
      </c>
      <c r="C68" s="16">
        <v>39.85</v>
      </c>
      <c r="D68" s="16">
        <v>292.8</v>
      </c>
      <c r="E68" s="16">
        <v>620.19</v>
      </c>
      <c r="F68" s="16">
        <v>588.08</v>
      </c>
      <c r="G68" s="16">
        <v>289.9</v>
      </c>
      <c r="H68" s="16">
        <v>552.83</v>
      </c>
      <c r="I68" s="16">
        <v>12.07</v>
      </c>
      <c r="J68" s="16">
        <v>477.64</v>
      </c>
      <c r="K68" s="16">
        <v>16.14</v>
      </c>
      <c r="L68" s="16">
        <v>363.05</v>
      </c>
      <c r="M68" s="17">
        <v>183.16</v>
      </c>
      <c r="N68" s="18">
        <f>SUM(B68:M68)</f>
        <v>3958.1</v>
      </c>
      <c r="O68" s="41">
        <f>N68/3276.8/12</f>
        <v>0.10065968831380208</v>
      </c>
      <c r="P68" s="38">
        <v>4000</v>
      </c>
      <c r="Q68" s="45">
        <f>P68/3276.8/12</f>
        <v>0.10172526041666667</v>
      </c>
    </row>
    <row r="69" spans="1:17" ht="12.75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8"/>
      <c r="O69" s="41"/>
      <c r="P69" s="38"/>
      <c r="Q69" s="45"/>
    </row>
    <row r="70" spans="1:17" ht="12.75">
      <c r="A70" s="5" t="s">
        <v>60</v>
      </c>
      <c r="B70" s="16"/>
      <c r="C70" s="16">
        <v>1830</v>
      </c>
      <c r="D70" s="16"/>
      <c r="E70" s="16"/>
      <c r="F70" s="16"/>
      <c r="G70" s="16">
        <v>48</v>
      </c>
      <c r="H70" s="16"/>
      <c r="I70" s="16">
        <v>854</v>
      </c>
      <c r="J70" s="16">
        <v>21</v>
      </c>
      <c r="K70" s="16"/>
      <c r="L70" s="16"/>
      <c r="M70" s="17">
        <v>102</v>
      </c>
      <c r="N70" s="18">
        <f>SUM(B70:M70)</f>
        <v>2855</v>
      </c>
      <c r="O70" s="41">
        <f>N70/3276.8/12</f>
        <v>0.07260640462239583</v>
      </c>
      <c r="P70" s="38">
        <v>3000</v>
      </c>
      <c r="Q70" s="45">
        <f>P70/3276.8/12</f>
        <v>0.0762939453125</v>
      </c>
    </row>
    <row r="71" spans="1:17" ht="12.75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8"/>
      <c r="O71" s="41"/>
      <c r="P71" s="38"/>
      <c r="Q71" s="45"/>
    </row>
    <row r="72" spans="1:17" ht="12.75">
      <c r="A72" s="5" t="s">
        <v>53</v>
      </c>
      <c r="B72" s="16">
        <v>1808.89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8">
        <f>SUM(B72:M72)</f>
        <v>1808.89</v>
      </c>
      <c r="O72" s="41">
        <f>N72/3276.8/12</f>
        <v>0.04600245157877605</v>
      </c>
      <c r="P72" s="38">
        <v>1500</v>
      </c>
      <c r="Q72" s="45">
        <f>P72/3276.8/12</f>
        <v>0.03814697265625</v>
      </c>
    </row>
    <row r="73" spans="1:17" ht="12.75">
      <c r="A73" s="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8"/>
      <c r="O73" s="41"/>
      <c r="P73" s="61"/>
      <c r="Q73" s="62"/>
    </row>
    <row r="74" spans="1:17" ht="12.75">
      <c r="A74" s="2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1"/>
      <c r="N74" s="48"/>
      <c r="O74" s="63"/>
      <c r="P74" s="38"/>
      <c r="Q74" s="45"/>
    </row>
    <row r="75" spans="1:17" ht="12.75">
      <c r="A75" s="22"/>
      <c r="B75" s="16">
        <f>SUM(B52:B72)</f>
        <v>7996.580000000001</v>
      </c>
      <c r="C75" s="16">
        <f>SUM(C52:C72)</f>
        <v>5359.89</v>
      </c>
      <c r="D75" s="16">
        <f>SUM(D52:D72)</f>
        <v>4184.530000000001</v>
      </c>
      <c r="E75" s="16">
        <f>SUM(E52:E72)</f>
        <v>4645.900000000001</v>
      </c>
      <c r="F75" s="16">
        <f>SUM(F52:F72)</f>
        <v>4616.650000000001</v>
      </c>
      <c r="G75" s="16">
        <f>SUM(G52:G72)</f>
        <v>4137.58</v>
      </c>
      <c r="H75" s="16">
        <f>SUM(H52:H72)</f>
        <v>6750.78</v>
      </c>
      <c r="I75" s="16">
        <f>SUM(I52:I72)</f>
        <v>5397.950000000001</v>
      </c>
      <c r="J75" s="16">
        <f>SUM(J52:J72)</f>
        <v>4666.58</v>
      </c>
      <c r="K75" s="16">
        <f>SUM(K52:K72)</f>
        <v>3771.33</v>
      </c>
      <c r="L75" s="16">
        <f>SUM(L52:L72)</f>
        <v>5648.2</v>
      </c>
      <c r="M75" s="23">
        <f>SUM(M52:M72)</f>
        <v>4025.0499999999997</v>
      </c>
      <c r="N75" s="18">
        <f>SUM(N52:N72)</f>
        <v>61201.02</v>
      </c>
      <c r="O75" s="18">
        <f>SUM(O48:O72)</f>
        <v>1.556422424316406</v>
      </c>
      <c r="P75" s="38">
        <f>SUM(P48:P72)</f>
        <v>62000</v>
      </c>
      <c r="Q75" s="45">
        <f>SUM(Q48:Q72)</f>
        <v>1.5767415364583335</v>
      </c>
    </row>
    <row r="76" spans="1:17" ht="12.75">
      <c r="A76" s="2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25"/>
      <c r="N76" s="64"/>
      <c r="O76" s="65"/>
      <c r="P76" s="61"/>
      <c r="Q76" s="62"/>
    </row>
    <row r="77" spans="1:17" ht="12.75">
      <c r="A77" s="4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8"/>
      <c r="O77" s="49"/>
      <c r="P77" s="50"/>
      <c r="Q77" s="51"/>
    </row>
    <row r="78" spans="1:17" ht="12.75">
      <c r="A78" s="5" t="s">
        <v>61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8">
        <f>N75-N70</f>
        <v>58346.02</v>
      </c>
      <c r="O78" s="52">
        <f>N78/3276.8/12</f>
        <v>1.4838160196940102</v>
      </c>
      <c r="P78" s="53">
        <f>P75-P70</f>
        <v>59000</v>
      </c>
      <c r="Q78" s="52">
        <f>P78/3276.8/12</f>
        <v>1.5004475911458333</v>
      </c>
    </row>
    <row r="79" spans="1:17" ht="12.7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54"/>
      <c r="P79" s="55"/>
      <c r="Q79" s="56"/>
    </row>
    <row r="81" spans="1:3" ht="12.75">
      <c r="A81" t="s">
        <v>62</v>
      </c>
      <c r="B81" t="s">
        <v>63</v>
      </c>
      <c r="C81" t="s">
        <v>62</v>
      </c>
    </row>
    <row r="82" spans="1:3" ht="12.75">
      <c r="A82" s="66" t="s">
        <v>64</v>
      </c>
      <c r="B82" s="67">
        <v>4497.04</v>
      </c>
      <c r="C82" s="67">
        <v>1088.99</v>
      </c>
    </row>
    <row r="83" spans="1:3" ht="12.75">
      <c r="A83" s="66" t="s">
        <v>65</v>
      </c>
      <c r="B83" s="67">
        <v>62496</v>
      </c>
      <c r="C83" s="67">
        <v>153010.8</v>
      </c>
    </row>
    <row r="84" spans="1:3" ht="12.75">
      <c r="A84" s="66" t="s">
        <v>66</v>
      </c>
      <c r="B84" s="67">
        <v>62211.72</v>
      </c>
      <c r="C84" s="67">
        <v>151983.51</v>
      </c>
    </row>
    <row r="85" spans="1:3" ht="12.75">
      <c r="A85" s="66" t="s">
        <v>67</v>
      </c>
      <c r="B85" s="67">
        <v>1550</v>
      </c>
      <c r="C85" s="67">
        <v>1305</v>
      </c>
    </row>
    <row r="86" spans="1:3" ht="12.75">
      <c r="A86" s="66"/>
      <c r="B86" s="67">
        <f>B82+B83-B84-B85</f>
        <v>3231.3199999999924</v>
      </c>
      <c r="C86" s="67">
        <f>C82+C83-C84-C85</f>
        <v>811.2799999999697</v>
      </c>
    </row>
    <row r="91" ht="12.75">
      <c r="M91" s="26" t="s">
        <v>68</v>
      </c>
    </row>
    <row r="92" spans="1:13" ht="12.75">
      <c r="A92">
        <v>2009</v>
      </c>
      <c r="B92" t="s">
        <v>29</v>
      </c>
      <c r="M92" s="27" t="s">
        <v>45</v>
      </c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4"/>
      <c r="O93" s="28"/>
      <c r="P93" s="29" t="s">
        <v>46</v>
      </c>
      <c r="Q93" s="30"/>
    </row>
    <row r="94" spans="1:17" ht="12.75">
      <c r="A94" s="5" t="s">
        <v>1</v>
      </c>
      <c r="B94" s="6" t="s">
        <v>2</v>
      </c>
      <c r="C94" s="6" t="s">
        <v>3</v>
      </c>
      <c r="D94" s="6" t="s">
        <v>4</v>
      </c>
      <c r="E94" s="6" t="s">
        <v>5</v>
      </c>
      <c r="F94" s="6" t="s">
        <v>6</v>
      </c>
      <c r="G94" s="6" t="s">
        <v>7</v>
      </c>
      <c r="H94" s="6" t="s">
        <v>8</v>
      </c>
      <c r="I94" s="6" t="s">
        <v>9</v>
      </c>
      <c r="J94" s="6" t="s">
        <v>10</v>
      </c>
      <c r="K94" s="6" t="s">
        <v>11</v>
      </c>
      <c r="L94" s="6" t="s">
        <v>12</v>
      </c>
      <c r="M94" s="7" t="s">
        <v>13</v>
      </c>
      <c r="N94" s="8" t="s">
        <v>14</v>
      </c>
      <c r="O94" s="31" t="s">
        <v>47</v>
      </c>
      <c r="P94" s="32"/>
      <c r="Q94" s="33" t="s">
        <v>47</v>
      </c>
    </row>
    <row r="95" spans="1:17" ht="12.7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1"/>
      <c r="N95" s="12"/>
      <c r="O95" s="34"/>
      <c r="P95" s="32" t="s">
        <v>48</v>
      </c>
      <c r="Q95" s="35" t="s">
        <v>49</v>
      </c>
    </row>
    <row r="96" spans="1:17" ht="12.75">
      <c r="A96" s="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/>
      <c r="N96" s="15"/>
      <c r="O96" s="31"/>
      <c r="P96" s="36"/>
      <c r="Q96" s="37"/>
    </row>
    <row r="97" spans="1:17" ht="12.75">
      <c r="A97" s="5" t="s">
        <v>15</v>
      </c>
      <c r="B97" s="16">
        <v>149.2</v>
      </c>
      <c r="C97" s="16">
        <v>149.2</v>
      </c>
      <c r="D97" s="16">
        <v>152.4</v>
      </c>
      <c r="E97" s="16">
        <v>149.2</v>
      </c>
      <c r="F97" s="16">
        <v>149.2</v>
      </c>
      <c r="G97" s="16">
        <v>230.5</v>
      </c>
      <c r="H97" s="16">
        <v>204</v>
      </c>
      <c r="I97" s="16">
        <v>230.5</v>
      </c>
      <c r="J97" s="16">
        <v>230.5</v>
      </c>
      <c r="K97" s="16">
        <v>230.5</v>
      </c>
      <c r="L97" s="16">
        <v>230.4</v>
      </c>
      <c r="M97" s="17">
        <v>230.4</v>
      </c>
      <c r="N97" s="18">
        <f>SUM(B97:M97)</f>
        <v>2336</v>
      </c>
      <c r="O97" s="41">
        <f>N97/622.8/12</f>
        <v>0.3125669021622779</v>
      </c>
      <c r="P97" s="38">
        <v>2700</v>
      </c>
      <c r="Q97" s="45">
        <f>P97/622.8/12</f>
        <v>0.36127167630057805</v>
      </c>
    </row>
    <row r="98" spans="1:17" ht="12.75">
      <c r="A98" s="1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  <c r="N98" s="18"/>
      <c r="O98" s="41"/>
      <c r="P98" s="38"/>
      <c r="Q98" s="45"/>
    </row>
    <row r="99" spans="1:17" ht="12.75">
      <c r="A99" s="5" t="s">
        <v>16</v>
      </c>
      <c r="B99" s="16">
        <v>53.69</v>
      </c>
      <c r="C99" s="16"/>
      <c r="D99" s="16">
        <v>48.4</v>
      </c>
      <c r="E99" s="16"/>
      <c r="F99" s="16">
        <v>44.65</v>
      </c>
      <c r="G99" s="16"/>
      <c r="H99" s="16">
        <v>35.69</v>
      </c>
      <c r="I99" s="16"/>
      <c r="J99" s="16">
        <v>43.73</v>
      </c>
      <c r="K99" s="16"/>
      <c r="L99" s="16">
        <v>47.96</v>
      </c>
      <c r="M99" s="17"/>
      <c r="N99" s="18">
        <f>SUM(B99:M99)</f>
        <v>274.12</v>
      </c>
      <c r="O99" s="41">
        <f>N99/622.8/12</f>
        <v>0.036678441447227574</v>
      </c>
      <c r="P99" s="38">
        <v>300</v>
      </c>
      <c r="Q99" s="45">
        <f>P99/622.8/12</f>
        <v>0.040141297366730895</v>
      </c>
    </row>
    <row r="100" spans="1:17" ht="12.75">
      <c r="A100" s="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  <c r="N100" s="18"/>
      <c r="O100" s="41"/>
      <c r="P100" s="38"/>
      <c r="Q100" s="45"/>
    </row>
    <row r="101" spans="1:17" ht="12.75">
      <c r="A101" s="5" t="s">
        <v>18</v>
      </c>
      <c r="B101" s="16">
        <v>173.91</v>
      </c>
      <c r="C101" s="16">
        <v>121.7</v>
      </c>
      <c r="D101" s="16">
        <v>156.5</v>
      </c>
      <c r="E101" s="16">
        <v>269.5</v>
      </c>
      <c r="F101" s="16">
        <v>156.52</v>
      </c>
      <c r="G101" s="16">
        <v>169.56</v>
      </c>
      <c r="H101" s="16">
        <v>143</v>
      </c>
      <c r="I101" s="16">
        <v>156</v>
      </c>
      <c r="J101" s="16">
        <v>156.48</v>
      </c>
      <c r="K101" s="16">
        <v>156.52</v>
      </c>
      <c r="L101" s="16">
        <v>156.54</v>
      </c>
      <c r="M101" s="17">
        <v>156.54</v>
      </c>
      <c r="N101" s="18">
        <f>SUM(B101:M101)</f>
        <v>1972.77</v>
      </c>
      <c r="O101" s="41">
        <f>N101/622.8/12</f>
        <v>0.2639651573538857</v>
      </c>
      <c r="P101" s="38">
        <v>2000</v>
      </c>
      <c r="Q101" s="45">
        <f>P101/622.8/12</f>
        <v>0.2676086491115393</v>
      </c>
    </row>
    <row r="102" spans="1:17" ht="12.75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8"/>
      <c r="O102" s="41"/>
      <c r="P102" s="38"/>
      <c r="Q102" s="45"/>
    </row>
    <row r="103" spans="1:17" ht="12.75">
      <c r="A103" s="5" t="s">
        <v>19</v>
      </c>
      <c r="B103" s="16"/>
      <c r="C103" s="16"/>
      <c r="D103" s="16"/>
      <c r="E103" s="16"/>
      <c r="F103" s="16"/>
      <c r="G103" s="16"/>
      <c r="H103" s="16"/>
      <c r="I103" s="16"/>
      <c r="J103" s="16">
        <v>400</v>
      </c>
      <c r="K103" s="16"/>
      <c r="L103" s="16">
        <v>192.6</v>
      </c>
      <c r="M103" s="17"/>
      <c r="N103" s="18">
        <f>SUM(B103:M103)</f>
        <v>592.6</v>
      </c>
      <c r="O103" s="41">
        <f>N103/622.8/12</f>
        <v>0.0792924427317491</v>
      </c>
      <c r="P103" s="38">
        <v>600</v>
      </c>
      <c r="Q103" s="45">
        <f>P103/622.8/12</f>
        <v>0.08028259473346179</v>
      </c>
    </row>
    <row r="104" spans="1:17" ht="12.75">
      <c r="A104" s="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  <c r="N104" s="18"/>
      <c r="O104" s="41"/>
      <c r="P104" s="38"/>
      <c r="Q104" s="45"/>
    </row>
    <row r="105" spans="1:17" ht="12.75">
      <c r="A105" s="5" t="s">
        <v>20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7"/>
      <c r="N105" s="18">
        <f>SUM(B105:M105)</f>
        <v>0</v>
      </c>
      <c r="O105" s="41">
        <f>N105/622.8/12</f>
        <v>0</v>
      </c>
      <c r="P105" s="38"/>
      <c r="Q105" s="45">
        <f>P105/622.8/12</f>
        <v>0</v>
      </c>
    </row>
    <row r="106" spans="1:17" ht="12.75">
      <c r="A106" s="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  <c r="N106" s="18"/>
      <c r="O106" s="41"/>
      <c r="P106" s="38"/>
      <c r="Q106" s="45"/>
    </row>
    <row r="107" spans="1:17" ht="12.75">
      <c r="A107" s="5" t="s">
        <v>21</v>
      </c>
      <c r="B107" s="16">
        <v>50</v>
      </c>
      <c r="C107" s="16">
        <v>49</v>
      </c>
      <c r="D107" s="16">
        <v>49</v>
      </c>
      <c r="E107" s="16">
        <v>49</v>
      </c>
      <c r="F107" s="16">
        <v>49</v>
      </c>
      <c r="G107" s="16">
        <v>49</v>
      </c>
      <c r="H107" s="16">
        <v>49</v>
      </c>
      <c r="I107" s="16">
        <v>49</v>
      </c>
      <c r="J107" s="16">
        <v>45</v>
      </c>
      <c r="K107" s="16">
        <v>43</v>
      </c>
      <c r="L107" s="16">
        <v>25</v>
      </c>
      <c r="M107" s="17">
        <v>16</v>
      </c>
      <c r="N107" s="18">
        <f>SUM(B107:M107)</f>
        <v>522</v>
      </c>
      <c r="O107" s="41">
        <f>N107/622.8/12</f>
        <v>0.06984585741811176</v>
      </c>
      <c r="P107" s="38">
        <v>350</v>
      </c>
      <c r="Q107" s="45">
        <f>P107/395.2/12</f>
        <v>0.07380229419703103</v>
      </c>
    </row>
    <row r="108" spans="1:17" ht="12.75">
      <c r="A108" s="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18"/>
      <c r="O108" s="41"/>
      <c r="P108" s="38"/>
      <c r="Q108" s="45"/>
    </row>
    <row r="109" spans="1:17" ht="12.75">
      <c r="A109" s="5" t="s">
        <v>23</v>
      </c>
      <c r="B109" s="16"/>
      <c r="C109" s="16">
        <v>355</v>
      </c>
      <c r="D109" s="16"/>
      <c r="E109" s="16"/>
      <c r="F109" s="16"/>
      <c r="G109" s="16"/>
      <c r="H109" s="16"/>
      <c r="I109" s="16">
        <v>354</v>
      </c>
      <c r="J109" s="16"/>
      <c r="K109" s="16"/>
      <c r="L109" s="16"/>
      <c r="M109" s="17"/>
      <c r="N109" s="18">
        <f>SUM(B109:M109)</f>
        <v>709</v>
      </c>
      <c r="O109" s="41">
        <f>N109/622.8/12</f>
        <v>0.09486726611004069</v>
      </c>
      <c r="P109" s="38">
        <v>800</v>
      </c>
      <c r="Q109" s="45">
        <f>P109/622.8/12</f>
        <v>0.10704345964461572</v>
      </c>
    </row>
    <row r="110" spans="1:17" ht="12.75">
      <c r="A110" s="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8"/>
      <c r="O110" s="41"/>
      <c r="P110" s="38"/>
      <c r="Q110" s="45"/>
    </row>
    <row r="111" spans="1:17" ht="12.75">
      <c r="A111" s="5" t="s">
        <v>51</v>
      </c>
      <c r="B111" s="16"/>
      <c r="C111" s="16"/>
      <c r="D111" s="16"/>
      <c r="E111" s="16"/>
      <c r="F111" s="16">
        <v>34</v>
      </c>
      <c r="G111" s="16"/>
      <c r="H111" s="16"/>
      <c r="I111" s="16"/>
      <c r="J111" s="16"/>
      <c r="K111" s="16"/>
      <c r="L111" s="16"/>
      <c r="M111" s="17"/>
      <c r="N111" s="18">
        <f>SUM(B111:M111)</f>
        <v>34</v>
      </c>
      <c r="O111" s="41">
        <f>N111/622.8/12</f>
        <v>0.004549347034896168</v>
      </c>
      <c r="P111" s="38"/>
      <c r="Q111" s="45">
        <f>P111/622.8/12</f>
        <v>0</v>
      </c>
    </row>
    <row r="112" spans="1:17" ht="12.75">
      <c r="A112" s="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  <c r="N112" s="18"/>
      <c r="O112" s="41"/>
      <c r="P112" s="38"/>
      <c r="Q112" s="45"/>
    </row>
    <row r="113" spans="1:17" ht="12.75">
      <c r="A113" s="5" t="s">
        <v>25</v>
      </c>
      <c r="B113" s="16">
        <v>337.54</v>
      </c>
      <c r="C113" s="16">
        <v>257.62</v>
      </c>
      <c r="D113" s="16">
        <v>270.48</v>
      </c>
      <c r="E113" s="16">
        <v>311.37</v>
      </c>
      <c r="F113" s="16">
        <v>308.68</v>
      </c>
      <c r="G113" s="16">
        <v>338.27</v>
      </c>
      <c r="H113" s="16">
        <v>382.11</v>
      </c>
      <c r="I113" s="16">
        <v>382.38</v>
      </c>
      <c r="J113" s="16">
        <v>303.18</v>
      </c>
      <c r="K113" s="16">
        <v>325.22</v>
      </c>
      <c r="L113" s="16">
        <v>322.53</v>
      </c>
      <c r="M113" s="17">
        <v>343.56</v>
      </c>
      <c r="N113" s="18">
        <f>SUM(B113:M113)</f>
        <v>3882.94</v>
      </c>
      <c r="O113" s="41">
        <f>N113/622.8/12</f>
        <v>0.5195541639905802</v>
      </c>
      <c r="P113" s="38">
        <v>4150</v>
      </c>
      <c r="Q113" s="45">
        <f>P113/622.8/12</f>
        <v>0.5552879469064441</v>
      </c>
    </row>
    <row r="114" spans="1:17" ht="12.75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8"/>
      <c r="O114" s="41"/>
      <c r="P114" s="38"/>
      <c r="Q114" s="45"/>
    </row>
    <row r="115" spans="1:17" ht="12.75">
      <c r="A115" s="5" t="s">
        <v>59</v>
      </c>
      <c r="B115" s="16">
        <v>99.23</v>
      </c>
      <c r="C115" s="16">
        <v>7.57</v>
      </c>
      <c r="D115" s="16">
        <v>55.61</v>
      </c>
      <c r="E115" s="16">
        <v>117.81</v>
      </c>
      <c r="F115" s="16">
        <v>111.71</v>
      </c>
      <c r="G115" s="16">
        <v>55.07</v>
      </c>
      <c r="H115" s="16">
        <v>105.02</v>
      </c>
      <c r="I115" s="16">
        <v>2.29</v>
      </c>
      <c r="J115" s="16">
        <v>90.73</v>
      </c>
      <c r="K115" s="16">
        <v>3.06</v>
      </c>
      <c r="L115" s="16">
        <v>68.96</v>
      </c>
      <c r="M115" s="17">
        <v>34.79</v>
      </c>
      <c r="N115" s="18">
        <f>SUM(B115:M115)</f>
        <v>751.8499999999999</v>
      </c>
      <c r="O115" s="41">
        <f>N115/622.8/12</f>
        <v>0.10060078141725541</v>
      </c>
      <c r="P115" s="38">
        <v>800</v>
      </c>
      <c r="Q115" s="45">
        <f>P115/622.8/12</f>
        <v>0.10704345964461572</v>
      </c>
    </row>
    <row r="116" spans="1:17" ht="12.75">
      <c r="A116" s="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  <c r="N116" s="18"/>
      <c r="O116" s="41"/>
      <c r="P116" s="38"/>
      <c r="Q116" s="45"/>
    </row>
    <row r="117" spans="1:17" ht="12.75">
      <c r="A117" s="5" t="s">
        <v>53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7"/>
      <c r="N117" s="18"/>
      <c r="O117" s="31"/>
      <c r="P117" s="38">
        <v>800</v>
      </c>
      <c r="Q117" s="45">
        <f>P117/622.8/12</f>
        <v>0.10704345964461572</v>
      </c>
    </row>
    <row r="118" spans="1:17" ht="12.75">
      <c r="A118" s="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/>
      <c r="N118" s="15"/>
      <c r="O118" s="41"/>
      <c r="P118" s="61"/>
      <c r="Q118" s="62"/>
    </row>
    <row r="119" spans="1:17" ht="12.75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1"/>
      <c r="N119" s="4"/>
      <c r="O119" s="63"/>
      <c r="P119" s="38"/>
      <c r="Q119" s="45"/>
    </row>
    <row r="120" spans="1:17" ht="12.75">
      <c r="A120" s="22"/>
      <c r="B120" s="16">
        <f>SUM(B97:B117)</f>
        <v>863.5700000000002</v>
      </c>
      <c r="C120" s="16">
        <f>SUM(C97:C117)</f>
        <v>940.0900000000001</v>
      </c>
      <c r="D120" s="16">
        <f>SUM(D97:D117)</f>
        <v>732.39</v>
      </c>
      <c r="E120" s="16">
        <f>SUM(E97:E117)</f>
        <v>896.8800000000001</v>
      </c>
      <c r="F120" s="16">
        <f>SUM(F97:F117)</f>
        <v>853.76</v>
      </c>
      <c r="G120" s="16">
        <f>SUM(G97:G117)</f>
        <v>842.4</v>
      </c>
      <c r="H120" s="16">
        <f>SUM(H97:H117)</f>
        <v>918.8199999999999</v>
      </c>
      <c r="I120" s="16">
        <f>SUM(I97:I117)</f>
        <v>1174.17</v>
      </c>
      <c r="J120" s="16">
        <f>SUM(J97:J117)</f>
        <v>1269.6200000000001</v>
      </c>
      <c r="K120" s="16">
        <f>SUM(K97:K117)</f>
        <v>758.3</v>
      </c>
      <c r="L120" s="16">
        <f>SUM(L97:L117)</f>
        <v>1043.99</v>
      </c>
      <c r="M120" s="16">
        <f>SUM(M97:M117)</f>
        <v>781.29</v>
      </c>
      <c r="N120" s="18">
        <f>SUM(N97:N115)</f>
        <v>11075.28</v>
      </c>
      <c r="O120" s="18">
        <f>SUM(O92:O117)</f>
        <v>1.4819203596660244</v>
      </c>
      <c r="P120" s="38">
        <f>SUM(P92:P117)</f>
        <v>12500</v>
      </c>
      <c r="Q120" s="45">
        <f>SUM(Q92:Q117)</f>
        <v>1.6995248375496324</v>
      </c>
    </row>
    <row r="121" spans="1:17" ht="12.75">
      <c r="A121" s="2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25"/>
      <c r="N121" s="12"/>
      <c r="O121" s="65"/>
      <c r="P121" s="61"/>
      <c r="Q121" s="62"/>
    </row>
    <row r="122" spans="1:17" ht="12.75">
      <c r="A122" s="4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8"/>
      <c r="O122" s="68"/>
      <c r="P122" s="50"/>
      <c r="Q122" s="51"/>
    </row>
    <row r="123" spans="1:17" ht="12.75">
      <c r="A123" s="5" t="s">
        <v>69</v>
      </c>
      <c r="B123" s="13"/>
      <c r="C123" s="13"/>
      <c r="D123" s="13"/>
      <c r="E123" s="13"/>
      <c r="F123" s="13"/>
      <c r="G123" s="13"/>
      <c r="H123" s="13"/>
      <c r="I123" s="13"/>
      <c r="J123" s="16">
        <f>(J120-J107-J111)/622.8*103.8</f>
        <v>204.10333333333338</v>
      </c>
      <c r="K123" s="16">
        <f>(K120-K107-K111)/622.8*103.8</f>
        <v>119.21666666666667</v>
      </c>
      <c r="L123" s="16">
        <f>(L120-L107-L111)/622.8*103.8</f>
        <v>169.83166666666668</v>
      </c>
      <c r="M123" s="16">
        <f>(M120-M107-M111)/622.8*207.6</f>
        <v>255.09666666666666</v>
      </c>
      <c r="N123" s="18">
        <f>N120-N107-N111</f>
        <v>10519.28</v>
      </c>
      <c r="O123" s="23">
        <f>O120-O107-O111</f>
        <v>1.4075251552130166</v>
      </c>
      <c r="P123" s="53">
        <f>P120-P107-P111</f>
        <v>12150</v>
      </c>
      <c r="Q123" s="52">
        <f>Q120-Q107-Q111</f>
        <v>1.6257225433526012</v>
      </c>
    </row>
    <row r="124" spans="1:17" ht="12.7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2"/>
      <c r="O124" s="25"/>
      <c r="P124" s="55"/>
      <c r="Q124" s="56"/>
    </row>
    <row r="126" spans="1:13" ht="12.75">
      <c r="A126" t="s">
        <v>55</v>
      </c>
      <c r="J126" s="57">
        <v>103.8</v>
      </c>
      <c r="K126" s="57">
        <v>103.8</v>
      </c>
      <c r="L126" s="57">
        <v>103.8</v>
      </c>
      <c r="M126" s="57">
        <v>207.6</v>
      </c>
    </row>
    <row r="127" spans="10:13" ht="12.75">
      <c r="J127" s="60"/>
      <c r="K127" s="60"/>
      <c r="L127" s="60"/>
      <c r="M127" s="60"/>
    </row>
    <row r="128" spans="1:13" ht="12.75">
      <c r="A128" t="s">
        <v>56</v>
      </c>
      <c r="J128" s="60">
        <v>204.1</v>
      </c>
      <c r="K128" s="60">
        <v>119.2</v>
      </c>
      <c r="L128" s="60">
        <v>169.83</v>
      </c>
      <c r="M128" s="60">
        <v>255.1</v>
      </c>
    </row>
    <row r="129" spans="1:13" ht="12.75">
      <c r="A129" t="s">
        <v>57</v>
      </c>
      <c r="J129" s="60">
        <v>64.93</v>
      </c>
      <c r="K129" s="60"/>
      <c r="L129" s="60"/>
      <c r="M129" s="60">
        <v>218.02</v>
      </c>
    </row>
    <row r="136" spans="1:13" ht="12.75">
      <c r="A136">
        <v>2008</v>
      </c>
      <c r="B136" t="s">
        <v>31</v>
      </c>
      <c r="M136" s="26" t="s">
        <v>70</v>
      </c>
    </row>
    <row r="137" ht="12.75">
      <c r="M137" s="27" t="s">
        <v>45</v>
      </c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69"/>
      <c r="P138" s="70"/>
    </row>
    <row r="139" spans="1:16" ht="12.75">
      <c r="A139" s="5" t="s">
        <v>1</v>
      </c>
      <c r="B139" s="6" t="s">
        <v>2</v>
      </c>
      <c r="C139" s="6" t="s">
        <v>3</v>
      </c>
      <c r="D139" s="6" t="s">
        <v>4</v>
      </c>
      <c r="E139" s="6" t="s">
        <v>5</v>
      </c>
      <c r="F139" s="6" t="s">
        <v>6</v>
      </c>
      <c r="G139" s="6" t="s">
        <v>7</v>
      </c>
      <c r="H139" s="6" t="s">
        <v>8</v>
      </c>
      <c r="I139" s="6" t="s">
        <v>9</v>
      </c>
      <c r="J139" s="6" t="s">
        <v>10</v>
      </c>
      <c r="K139" s="6" t="s">
        <v>11</v>
      </c>
      <c r="L139" s="6" t="s">
        <v>12</v>
      </c>
      <c r="M139" s="7" t="s">
        <v>13</v>
      </c>
      <c r="N139" s="8" t="s">
        <v>14</v>
      </c>
      <c r="O139" s="71" t="s">
        <v>71</v>
      </c>
      <c r="P139" s="72" t="s">
        <v>72</v>
      </c>
    </row>
    <row r="140" spans="1:16" ht="12.7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1"/>
      <c r="N140" s="12"/>
      <c r="P140" s="73" t="s">
        <v>73</v>
      </c>
    </row>
    <row r="141" spans="1:16" ht="12.75">
      <c r="A141" s="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/>
      <c r="N141" s="15"/>
      <c r="O141" s="74"/>
      <c r="P141" s="75"/>
    </row>
    <row r="142" spans="1:16" ht="12.75">
      <c r="A142" s="5" t="s">
        <v>32</v>
      </c>
      <c r="B142" s="16">
        <v>315.98</v>
      </c>
      <c r="C142" s="16">
        <v>305</v>
      </c>
      <c r="D142" s="16">
        <v>320.25</v>
      </c>
      <c r="E142" s="16">
        <v>305</v>
      </c>
      <c r="F142" s="16">
        <v>305</v>
      </c>
      <c r="G142" s="16">
        <v>305</v>
      </c>
      <c r="H142" s="16">
        <v>732</v>
      </c>
      <c r="I142" s="16">
        <v>305</v>
      </c>
      <c r="J142" s="16"/>
      <c r="K142" s="16">
        <v>240</v>
      </c>
      <c r="L142" s="16"/>
      <c r="M142" s="17"/>
      <c r="N142" s="18">
        <f>SUM(B142:M142)</f>
        <v>3133.23</v>
      </c>
      <c r="O142" s="76">
        <f>N142/$N$168</f>
        <v>0.031248999541921098</v>
      </c>
      <c r="P142" s="77">
        <f>N142/10655.6/12</f>
        <v>0.024503782048875707</v>
      </c>
    </row>
    <row r="143" spans="1:16" ht="12.75">
      <c r="A143" s="19" t="s">
        <v>33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7"/>
      <c r="N143" s="18"/>
      <c r="O143" s="78"/>
      <c r="P143" s="77"/>
    </row>
    <row r="144" spans="1:16" ht="12.75">
      <c r="A144" s="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7"/>
      <c r="N144" s="18"/>
      <c r="O144" s="78"/>
      <c r="P144" s="77"/>
    </row>
    <row r="145" spans="1:16" ht="12.75">
      <c r="A145" s="5" t="s">
        <v>34</v>
      </c>
      <c r="B145" s="16">
        <v>976</v>
      </c>
      <c r="C145" s="16">
        <v>976</v>
      </c>
      <c r="D145" s="16">
        <v>976</v>
      </c>
      <c r="E145" s="16">
        <v>976</v>
      </c>
      <c r="F145" s="16">
        <v>976</v>
      </c>
      <c r="G145" s="16">
        <v>976</v>
      </c>
      <c r="H145" s="16">
        <v>976</v>
      </c>
      <c r="I145" s="16">
        <v>976</v>
      </c>
      <c r="J145" s="16">
        <v>976</v>
      </c>
      <c r="K145" s="16">
        <v>976</v>
      </c>
      <c r="L145" s="16">
        <v>976</v>
      </c>
      <c r="M145" s="17">
        <v>976</v>
      </c>
      <c r="N145" s="18">
        <f>SUM(B145:M145)</f>
        <v>11712</v>
      </c>
      <c r="O145" s="76">
        <f>N145/$N$168</f>
        <v>0.11680862325299449</v>
      </c>
      <c r="P145" s="77">
        <f>N145/10655.6/12</f>
        <v>0.09159502984346259</v>
      </c>
    </row>
    <row r="146" spans="1:16" ht="12.75">
      <c r="A146" s="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7"/>
      <c r="N146" s="18"/>
      <c r="O146" s="78"/>
      <c r="P146" s="77"/>
    </row>
    <row r="147" spans="1:16" ht="12.75">
      <c r="A147" s="5" t="s">
        <v>36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7"/>
      <c r="N147" s="18">
        <f>SUM(B147:M147)</f>
        <v>0</v>
      </c>
      <c r="O147" s="78"/>
      <c r="P147" s="77"/>
    </row>
    <row r="148" spans="1:16" ht="12.75">
      <c r="A148" s="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7"/>
      <c r="N148" s="18"/>
      <c r="O148" s="78"/>
      <c r="P148" s="77"/>
    </row>
    <row r="149" spans="1:16" ht="12.75">
      <c r="A149" s="5" t="s">
        <v>16</v>
      </c>
      <c r="B149" s="16">
        <v>123.7</v>
      </c>
      <c r="C149" s="16"/>
      <c r="D149" s="16">
        <v>93.48</v>
      </c>
      <c r="E149" s="16"/>
      <c r="F149" s="16">
        <v>89.24</v>
      </c>
      <c r="G149" s="16"/>
      <c r="H149" s="16">
        <v>213.11</v>
      </c>
      <c r="I149" s="16">
        <v>652.9</v>
      </c>
      <c r="J149" s="16">
        <v>323.38</v>
      </c>
      <c r="K149" s="16"/>
      <c r="L149" s="16">
        <v>95.87</v>
      </c>
      <c r="M149" s="17"/>
      <c r="N149" s="18">
        <f>SUM(B149:M149)</f>
        <v>1591.68</v>
      </c>
      <c r="O149" s="76">
        <f>N149/$N$168</f>
        <v>0.01587448338962827</v>
      </c>
      <c r="P149" s="77">
        <f>N149/10655.6/12</f>
        <v>0.012447914711513195</v>
      </c>
    </row>
    <row r="150" spans="1:16" ht="12.75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7"/>
      <c r="N150" s="18"/>
      <c r="O150" s="78"/>
      <c r="P150" s="77"/>
    </row>
    <row r="151" spans="1:16" ht="12.75">
      <c r="A151" s="5" t="s">
        <v>37</v>
      </c>
      <c r="B151" s="16">
        <v>1456.04</v>
      </c>
      <c r="C151" s="16">
        <v>954.97</v>
      </c>
      <c r="D151" s="16">
        <v>421.87</v>
      </c>
      <c r="E151" s="16">
        <v>187</v>
      </c>
      <c r="F151" s="16">
        <v>480.22</v>
      </c>
      <c r="G151" s="16">
        <v>219.91</v>
      </c>
      <c r="H151" s="16">
        <v>393.26</v>
      </c>
      <c r="I151" s="16">
        <v>503.42</v>
      </c>
      <c r="J151" s="16"/>
      <c r="K151" s="16">
        <v>289.16</v>
      </c>
      <c r="L151" s="16">
        <v>931.34</v>
      </c>
      <c r="M151" s="17">
        <v>426.65</v>
      </c>
      <c r="N151" s="18">
        <f>SUM(B151:M151)</f>
        <v>6263.84</v>
      </c>
      <c r="O151" s="76">
        <f>N151/$N$168</f>
        <v>0.062471868739501106</v>
      </c>
      <c r="P151" s="77">
        <f>N151/10655.6/12</f>
        <v>0.04898707408936772</v>
      </c>
    </row>
    <row r="152" spans="1:16" ht="12.75">
      <c r="A152" s="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7"/>
      <c r="N152" s="18"/>
      <c r="O152" s="78"/>
      <c r="P152" s="77"/>
    </row>
    <row r="153" spans="1:16" ht="12.75">
      <c r="A153" s="5" t="s">
        <v>74</v>
      </c>
      <c r="B153" s="16">
        <v>672.26</v>
      </c>
      <c r="C153" s="16">
        <v>599.96</v>
      </c>
      <c r="D153" s="16">
        <v>686.16</v>
      </c>
      <c r="E153" s="16">
        <v>703.72</v>
      </c>
      <c r="F153" s="16">
        <v>691.55</v>
      </c>
      <c r="G153" s="16">
        <v>640.66</v>
      </c>
      <c r="H153" s="16">
        <v>326.13</v>
      </c>
      <c r="I153" s="16">
        <v>673.7</v>
      </c>
      <c r="J153" s="16">
        <v>681.17</v>
      </c>
      <c r="K153" s="16">
        <v>637.31</v>
      </c>
      <c r="L153" s="16">
        <v>558.53</v>
      </c>
      <c r="M153" s="17">
        <v>1018.23</v>
      </c>
      <c r="N153" s="18">
        <f>SUM(B153:M153)</f>
        <v>7889.380000000001</v>
      </c>
      <c r="O153" s="76">
        <f>N153/$N$168</f>
        <v>0.07868405192278942</v>
      </c>
      <c r="P153" s="77">
        <f>N153/10655.6/12</f>
        <v>0.061699794787091616</v>
      </c>
    </row>
    <row r="154" spans="1:16" ht="12.75">
      <c r="A154" s="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7"/>
      <c r="N154" s="18"/>
      <c r="O154" s="78"/>
      <c r="P154" s="77"/>
    </row>
    <row r="155" spans="1:16" ht="12.75">
      <c r="A155" s="5" t="s">
        <v>39</v>
      </c>
      <c r="B155" s="16">
        <v>95.75</v>
      </c>
      <c r="C155" s="16">
        <v>72.5</v>
      </c>
      <c r="D155" s="16">
        <v>73.2</v>
      </c>
      <c r="E155" s="16">
        <v>84.25</v>
      </c>
      <c r="F155" s="16"/>
      <c r="G155" s="16">
        <v>129.15</v>
      </c>
      <c r="H155" s="16">
        <v>127.45</v>
      </c>
      <c r="I155" s="16">
        <v>418.65</v>
      </c>
      <c r="J155" s="16">
        <v>15.75</v>
      </c>
      <c r="K155" s="16">
        <v>203.4</v>
      </c>
      <c r="L155" s="16">
        <v>81.25</v>
      </c>
      <c r="M155" s="17">
        <v>57.1</v>
      </c>
      <c r="N155" s="18">
        <f>SUM(B155:M155)</f>
        <v>1358.45</v>
      </c>
      <c r="O155" s="76">
        <f>N155/$N$168</f>
        <v>0.013548384072577729</v>
      </c>
      <c r="P155" s="77">
        <f>N155/10655.6/12</f>
        <v>0.010623912934669721</v>
      </c>
    </row>
    <row r="156" spans="1:16" ht="12.75">
      <c r="A156" s="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7"/>
      <c r="N156" s="18"/>
      <c r="O156" s="78"/>
      <c r="P156" s="77"/>
    </row>
    <row r="157" spans="1:16" ht="12.75">
      <c r="A157" s="5" t="s">
        <v>40</v>
      </c>
      <c r="B157" s="16">
        <v>5214</v>
      </c>
      <c r="C157" s="16">
        <v>3214</v>
      </c>
      <c r="D157" s="16">
        <v>3722.9</v>
      </c>
      <c r="E157" s="16">
        <v>4341.26</v>
      </c>
      <c r="F157" s="16">
        <v>4341.26</v>
      </c>
      <c r="G157" s="16">
        <v>4341.26</v>
      </c>
      <c r="H157" s="16">
        <v>5541.26</v>
      </c>
      <c r="I157" s="16">
        <v>4941.26</v>
      </c>
      <c r="J157" s="16">
        <v>4341.26</v>
      </c>
      <c r="K157" s="16">
        <v>4341.26</v>
      </c>
      <c r="L157" s="16">
        <v>4341.26</v>
      </c>
      <c r="M157" s="17">
        <v>4341.26</v>
      </c>
      <c r="N157" s="18">
        <f>SUM(B157:M157)</f>
        <v>53022.24000000001</v>
      </c>
      <c r="O157" s="76">
        <f>N157/$N$168</f>
        <v>0.5288127438686694</v>
      </c>
      <c r="P157" s="77">
        <f>N157/10655.6/12</f>
        <v>0.4146664664589512</v>
      </c>
    </row>
    <row r="158" spans="1:16" ht="12.75">
      <c r="A158" s="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7"/>
      <c r="N158" s="18"/>
      <c r="O158" s="78"/>
      <c r="P158" s="77"/>
    </row>
    <row r="159" spans="1:16" ht="12.75">
      <c r="A159" s="5" t="s">
        <v>41</v>
      </c>
      <c r="B159" s="16">
        <v>552.72</v>
      </c>
      <c r="C159" s="16">
        <v>598.06</v>
      </c>
      <c r="D159" s="16">
        <v>598.06</v>
      </c>
      <c r="E159" s="16">
        <f>692.83+600</f>
        <v>1292.83</v>
      </c>
      <c r="F159" s="16">
        <v>802.26</v>
      </c>
      <c r="G159" s="16">
        <v>802.26</v>
      </c>
      <c r="H159" s="16">
        <v>802.26</v>
      </c>
      <c r="I159" s="16">
        <v>802.26</v>
      </c>
      <c r="J159" s="16">
        <v>802.26</v>
      </c>
      <c r="K159" s="16">
        <v>802.26</v>
      </c>
      <c r="L159" s="16">
        <v>802.26</v>
      </c>
      <c r="M159" s="17">
        <v>1702.26</v>
      </c>
      <c r="N159" s="18">
        <f>SUM(B159:M159)</f>
        <v>10359.75</v>
      </c>
      <c r="O159" s="76">
        <f>N159/$N$168</f>
        <v>0.10332207434641476</v>
      </c>
      <c r="P159" s="77">
        <f>N159/10655.6/12</f>
        <v>0.0810196047148917</v>
      </c>
    </row>
    <row r="160" spans="1:16" ht="12.75">
      <c r="A160" s="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7"/>
      <c r="N160" s="18"/>
      <c r="O160" s="78"/>
      <c r="P160" s="77"/>
    </row>
    <row r="161" spans="1:16" ht="12.75">
      <c r="A161" s="5" t="s">
        <v>42</v>
      </c>
      <c r="B161" s="16"/>
      <c r="C161" s="16"/>
      <c r="D161" s="16"/>
      <c r="E161" s="16"/>
      <c r="F161" s="16"/>
      <c r="G161" s="16">
        <v>1500</v>
      </c>
      <c r="H161" s="16">
        <v>250</v>
      </c>
      <c r="I161" s="16">
        <f>250</f>
        <v>250</v>
      </c>
      <c r="J161" s="16">
        <v>250</v>
      </c>
      <c r="K161" s="16">
        <v>648</v>
      </c>
      <c r="L161" s="16">
        <v>250</v>
      </c>
      <c r="M161" s="17">
        <v>250</v>
      </c>
      <c r="N161" s="18">
        <f>SUM(B161:M161)</f>
        <v>3398</v>
      </c>
      <c r="O161" s="76">
        <f>N161/$N$168</f>
        <v>0.03388966033245178</v>
      </c>
      <c r="P161" s="77">
        <f>N161/10655.6/12</f>
        <v>0.02657444598771225</v>
      </c>
    </row>
    <row r="162" spans="1:16" ht="12.75">
      <c r="A162" s="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7"/>
      <c r="N162" s="18"/>
      <c r="O162" s="78"/>
      <c r="P162" s="77"/>
    </row>
    <row r="163" spans="1:16" ht="12.75">
      <c r="A163" s="5" t="s">
        <v>23</v>
      </c>
      <c r="B163" s="16"/>
      <c r="C163" s="16">
        <v>369</v>
      </c>
      <c r="D163" s="16"/>
      <c r="E163" s="16"/>
      <c r="F163" s="16"/>
      <c r="G163" s="16"/>
      <c r="H163" s="16"/>
      <c r="I163" s="16">
        <v>364</v>
      </c>
      <c r="J163" s="16"/>
      <c r="K163" s="16"/>
      <c r="L163" s="16"/>
      <c r="M163" s="17"/>
      <c r="N163" s="18">
        <f>SUM(B163:M163)</f>
        <v>733</v>
      </c>
      <c r="O163" s="76">
        <f>N163/$N$168</f>
        <v>0.007310512367182801</v>
      </c>
      <c r="P163" s="77">
        <f>N163/10655.6/12</f>
        <v>0.0057325099791033195</v>
      </c>
    </row>
    <row r="164" spans="1:16" ht="12.75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7"/>
      <c r="N164" s="18"/>
      <c r="O164" s="78"/>
      <c r="P164" s="77"/>
    </row>
    <row r="165" spans="1:16" ht="12.75">
      <c r="A165" s="5" t="s">
        <v>43</v>
      </c>
      <c r="B165" s="16">
        <v>65</v>
      </c>
      <c r="C165" s="16">
        <v>63</v>
      </c>
      <c r="D165" s="16">
        <v>63</v>
      </c>
      <c r="E165" s="16">
        <v>63</v>
      </c>
      <c r="F165" s="16">
        <v>63</v>
      </c>
      <c r="G165" s="16">
        <v>63</v>
      </c>
      <c r="H165" s="16">
        <v>63</v>
      </c>
      <c r="I165" s="16">
        <v>63</v>
      </c>
      <c r="J165" s="16"/>
      <c r="K165" s="16">
        <v>75</v>
      </c>
      <c r="L165" s="16">
        <v>75</v>
      </c>
      <c r="M165" s="17">
        <v>149</v>
      </c>
      <c r="N165" s="18">
        <f>SUM(B165:M165)</f>
        <v>805</v>
      </c>
      <c r="O165" s="76">
        <f>N165/$N$168</f>
        <v>0.008028598165869242</v>
      </c>
      <c r="P165" s="77">
        <f>N165/10655.6/12</f>
        <v>0.006295594178960672</v>
      </c>
    </row>
    <row r="166" spans="1:16" ht="12.75">
      <c r="A166" s="5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  <c r="N166" s="15"/>
      <c r="O166" s="79"/>
      <c r="P166" s="54"/>
    </row>
    <row r="167" spans="1:16" ht="12.75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1"/>
      <c r="N167" s="4"/>
      <c r="P167" s="73"/>
    </row>
    <row r="168" spans="1:16" ht="12.75">
      <c r="A168" s="22"/>
      <c r="B168" s="16">
        <f>SUM(B142:B165)</f>
        <v>9471.449999999999</v>
      </c>
      <c r="C168" s="16">
        <f>SUM(C142:C165)</f>
        <v>7152.49</v>
      </c>
      <c r="D168" s="16">
        <f>SUM(D142:D165)</f>
        <v>6954.92</v>
      </c>
      <c r="E168" s="16">
        <f>SUM(E142:E165)</f>
        <v>7953.06</v>
      </c>
      <c r="F168" s="16">
        <f>SUM(F142:F165)</f>
        <v>7748.530000000001</v>
      </c>
      <c r="G168" s="16">
        <f>SUM(G142:G165)</f>
        <v>8977.240000000002</v>
      </c>
      <c r="H168" s="16">
        <f>SUM(H142:H165)</f>
        <v>9424.47</v>
      </c>
      <c r="I168" s="16">
        <f>SUM(I142:I165)</f>
        <v>9950.19</v>
      </c>
      <c r="J168" s="16">
        <f>SUM(J142:J165)</f>
        <v>7389.820000000001</v>
      </c>
      <c r="K168" s="16">
        <f>SUM(K142:K165)</f>
        <v>8212.39</v>
      </c>
      <c r="L168" s="16">
        <f>SUM(L142:L165)</f>
        <v>8111.51</v>
      </c>
      <c r="M168" s="23">
        <f>SUM(M142:M165)</f>
        <v>8920.5</v>
      </c>
      <c r="N168" s="18">
        <f>SUM(N142:N165)</f>
        <v>100266.57</v>
      </c>
      <c r="P168" s="18">
        <f>SUM(P142:P165)</f>
        <v>0.7841461297345997</v>
      </c>
    </row>
    <row r="169" spans="1:16" ht="12.75">
      <c r="A169" s="2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25"/>
      <c r="N169" s="12"/>
      <c r="O169" s="80"/>
      <c r="P169" s="8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>
        <f>N168-N157-N159</f>
        <v>36884.579999999994</v>
      </c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2" ht="12.75">
      <c r="A173" t="s">
        <v>75</v>
      </c>
      <c r="B173">
        <v>6756</v>
      </c>
    </row>
    <row r="174" spans="1:2" ht="12.75">
      <c r="A174" t="s">
        <v>76</v>
      </c>
      <c r="B174">
        <v>3276.8</v>
      </c>
    </row>
    <row r="175" spans="1:2" ht="12.75">
      <c r="A175" t="s">
        <v>77</v>
      </c>
      <c r="B175">
        <v>622.8</v>
      </c>
    </row>
    <row r="176" ht="12.75">
      <c r="B176" s="82">
        <f>SUM(B173:B175)</f>
        <v>10655.6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zoomScale="81" zoomScaleNormal="81" workbookViewId="0" topLeftCell="A1">
      <selection activeCell="N154" sqref="N154"/>
    </sheetView>
  </sheetViews>
  <sheetFormatPr defaultColWidth="12.57421875" defaultRowHeight="12.75"/>
  <cols>
    <col min="1" max="1" width="24.28125" style="0" customWidth="1"/>
    <col min="2" max="9" width="9.00390625" style="0" customWidth="1"/>
    <col min="10" max="10" width="10.140625" style="0" customWidth="1"/>
    <col min="11" max="12" width="9.00390625" style="0" customWidth="1"/>
    <col min="13" max="13" width="10.140625" style="0" customWidth="1"/>
    <col min="14" max="14" width="11.140625" style="0" customWidth="1"/>
    <col min="15" max="15" width="8.140625" style="0" customWidth="1"/>
    <col min="16" max="16" width="10.57421875" style="0" customWidth="1"/>
    <col min="17" max="17" width="8.00390625" style="0" customWidth="1"/>
    <col min="18" max="16384" width="11.57421875" style="0" customWidth="1"/>
  </cols>
  <sheetData>
    <row r="1" ht="12.75">
      <c r="M1" s="26" t="s">
        <v>44</v>
      </c>
    </row>
    <row r="2" spans="1:13" ht="12.75">
      <c r="A2" s="71">
        <v>2010</v>
      </c>
      <c r="B2" t="s">
        <v>0</v>
      </c>
      <c r="M2" s="27" t="s">
        <v>78</v>
      </c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28"/>
      <c r="P3" s="29" t="s">
        <v>79</v>
      </c>
      <c r="Q3" s="30"/>
    </row>
    <row r="4" spans="1:17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  <c r="N4" s="8" t="s">
        <v>14</v>
      </c>
      <c r="O4" s="31" t="s">
        <v>47</v>
      </c>
      <c r="P4" s="32"/>
      <c r="Q4" s="33" t="s">
        <v>47</v>
      </c>
    </row>
    <row r="5" spans="1:17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34"/>
      <c r="P5" s="32" t="s">
        <v>48</v>
      </c>
      <c r="Q5" s="35" t="s">
        <v>49</v>
      </c>
    </row>
    <row r="6" spans="1:17" ht="12.75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31"/>
      <c r="P6" s="36"/>
      <c r="Q6" s="37"/>
    </row>
    <row r="7" spans="1:17" ht="12.75">
      <c r="A7" s="5" t="s">
        <v>15</v>
      </c>
      <c r="B7" s="16">
        <v>1382.6</v>
      </c>
      <c r="C7" s="16">
        <v>1382.6</v>
      </c>
      <c r="D7" s="16">
        <v>1382.6</v>
      </c>
      <c r="E7" s="16">
        <v>1382.6</v>
      </c>
      <c r="F7" s="83">
        <f>1482.6+155</f>
        <v>1637.6</v>
      </c>
      <c r="G7" s="83">
        <v>1382.6</v>
      </c>
      <c r="H7" s="83">
        <v>1382.6</v>
      </c>
      <c r="I7" s="83">
        <v>1482.6</v>
      </c>
      <c r="J7" s="83">
        <v>1382.6</v>
      </c>
      <c r="K7" s="84">
        <v>1582.6</v>
      </c>
      <c r="L7" s="83">
        <v>1382.6</v>
      </c>
      <c r="M7" s="85">
        <f>1382.6+502.94</f>
        <v>1885.54</v>
      </c>
      <c r="N7" s="18">
        <f>SUM(B7:M7)</f>
        <v>17649.14</v>
      </c>
      <c r="O7" s="31">
        <f>N7/6756/12</f>
        <v>0.21769710874284587</v>
      </c>
      <c r="P7" s="38">
        <v>17800</v>
      </c>
      <c r="Q7" s="39">
        <f>P7/6756/12</f>
        <v>0.21955792382080128</v>
      </c>
    </row>
    <row r="8" spans="1:17" ht="12.75">
      <c r="A8" s="19"/>
      <c r="B8" s="16"/>
      <c r="C8" s="16"/>
      <c r="D8" s="16"/>
      <c r="E8" s="16"/>
      <c r="F8" s="83"/>
      <c r="G8" s="83"/>
      <c r="H8" s="83"/>
      <c r="I8" s="83"/>
      <c r="J8" s="83"/>
      <c r="K8" s="84"/>
      <c r="L8" s="83"/>
      <c r="M8" s="85"/>
      <c r="N8" s="18"/>
      <c r="O8" s="31"/>
      <c r="P8" s="38"/>
      <c r="Q8" s="39"/>
    </row>
    <row r="9" spans="1:17" ht="12.75">
      <c r="A9" s="5" t="s">
        <v>16</v>
      </c>
      <c r="B9" s="16">
        <v>653.63</v>
      </c>
      <c r="C9" s="16"/>
      <c r="D9" s="16">
        <v>869.7</v>
      </c>
      <c r="E9" s="16"/>
      <c r="F9" s="83">
        <v>783.6</v>
      </c>
      <c r="G9" s="83"/>
      <c r="H9" s="83">
        <v>632.58</v>
      </c>
      <c r="I9" s="83"/>
      <c r="J9" s="83">
        <v>718.47</v>
      </c>
      <c r="K9" s="84"/>
      <c r="L9" s="83">
        <v>714.19</v>
      </c>
      <c r="M9" s="85"/>
      <c r="N9" s="18">
        <f>SUM(B9:M9)</f>
        <v>4372.17</v>
      </c>
      <c r="O9" s="31">
        <f>N9/6756/12</f>
        <v>0.05392947010065127</v>
      </c>
      <c r="P9" s="38">
        <v>4500</v>
      </c>
      <c r="Q9" s="39">
        <f>P9/6756/12</f>
        <v>0.05550621669626998</v>
      </c>
    </row>
    <row r="10" spans="1:17" ht="12.75">
      <c r="A10" s="5"/>
      <c r="B10" s="16"/>
      <c r="C10" s="16"/>
      <c r="D10" s="16"/>
      <c r="E10" s="16"/>
      <c r="F10" s="83"/>
      <c r="G10" s="83"/>
      <c r="H10" s="83"/>
      <c r="I10" s="83"/>
      <c r="J10" s="83"/>
      <c r="K10" s="84"/>
      <c r="L10" s="83"/>
      <c r="M10" s="85"/>
      <c r="N10" s="18"/>
      <c r="O10" s="31"/>
      <c r="P10" s="38"/>
      <c r="Q10" s="39"/>
    </row>
    <row r="11" spans="1:17" ht="12.75">
      <c r="A11" s="5" t="s">
        <v>50</v>
      </c>
      <c r="B11" s="16"/>
      <c r="C11" s="16"/>
      <c r="D11" s="16"/>
      <c r="E11" s="16"/>
      <c r="F11" s="83"/>
      <c r="G11" s="83"/>
      <c r="H11" s="83"/>
      <c r="I11" s="83">
        <v>4290.99</v>
      </c>
      <c r="J11" s="83"/>
      <c r="K11" s="84"/>
      <c r="L11" s="83"/>
      <c r="M11" s="85"/>
      <c r="N11" s="18">
        <f>SUM(B11:M11)</f>
        <v>4290.99</v>
      </c>
      <c r="O11" s="31">
        <f>N11/6756/12</f>
        <v>0.052928137951450564</v>
      </c>
      <c r="P11" s="38">
        <v>4300</v>
      </c>
      <c r="Q11" s="39">
        <f>P11/6756/12</f>
        <v>0.05303927373199132</v>
      </c>
    </row>
    <row r="12" spans="1:17" ht="12.75">
      <c r="A12" s="5"/>
      <c r="B12" s="16"/>
      <c r="C12" s="16"/>
      <c r="D12" s="16"/>
      <c r="E12" s="16"/>
      <c r="F12" s="83"/>
      <c r="G12" s="83"/>
      <c r="H12" s="83"/>
      <c r="I12" s="83"/>
      <c r="J12" s="83"/>
      <c r="K12" s="84"/>
      <c r="L12" s="83"/>
      <c r="M12" s="85"/>
      <c r="N12" s="18"/>
      <c r="O12" s="31"/>
      <c r="P12" s="38"/>
      <c r="Q12" s="39"/>
    </row>
    <row r="13" spans="1:17" ht="12.75">
      <c r="A13" s="5" t="s">
        <v>18</v>
      </c>
      <c r="B13" s="16">
        <v>939.12</v>
      </c>
      <c r="C13" s="16">
        <v>939.12</v>
      </c>
      <c r="D13" s="16">
        <v>834.7</v>
      </c>
      <c r="E13" s="16">
        <v>834.7</v>
      </c>
      <c r="F13" s="83">
        <v>260.8</v>
      </c>
      <c r="G13" s="83">
        <v>687.85</v>
      </c>
      <c r="H13" s="83">
        <v>1408.7</v>
      </c>
      <c r="I13" s="83">
        <v>769.5</v>
      </c>
      <c r="J13" s="83">
        <v>834.8</v>
      </c>
      <c r="K13" s="84">
        <v>314.4</v>
      </c>
      <c r="L13" s="83"/>
      <c r="M13" s="85">
        <v>260.8</v>
      </c>
      <c r="N13" s="18">
        <f>SUM(B13:M13)</f>
        <v>8084.490000000001</v>
      </c>
      <c r="O13" s="31">
        <f>N13/6756/12</f>
        <v>0.09971987862640617</v>
      </c>
      <c r="P13" s="38">
        <v>10500</v>
      </c>
      <c r="Q13" s="39">
        <f>P13/6756/12</f>
        <v>0.12951450562462996</v>
      </c>
    </row>
    <row r="14" spans="1:17" ht="12.75">
      <c r="A14" s="5"/>
      <c r="B14" s="16"/>
      <c r="C14" s="16"/>
      <c r="D14" s="16"/>
      <c r="E14" s="16"/>
      <c r="F14" s="83"/>
      <c r="G14" s="83"/>
      <c r="H14" s="83"/>
      <c r="I14" s="83"/>
      <c r="J14" s="83"/>
      <c r="K14" s="84"/>
      <c r="L14" s="83"/>
      <c r="M14" s="85"/>
      <c r="N14" s="18"/>
      <c r="O14" s="31"/>
      <c r="P14" s="38"/>
      <c r="Q14" s="39"/>
    </row>
    <row r="15" spans="1:17" ht="12.75">
      <c r="A15" s="5" t="s">
        <v>19</v>
      </c>
      <c r="B15" s="16"/>
      <c r="C15" s="16"/>
      <c r="D15" s="16">
        <v>120</v>
      </c>
      <c r="E15" s="16"/>
      <c r="F15" s="83">
        <v>1561.6</v>
      </c>
      <c r="G15" s="83">
        <v>800</v>
      </c>
      <c r="H15" s="83"/>
      <c r="I15" s="83"/>
      <c r="J15" s="83"/>
      <c r="K15" s="84"/>
      <c r="L15" s="83"/>
      <c r="M15" s="85"/>
      <c r="N15" s="18">
        <f>SUM(B15:M15)</f>
        <v>2481.6</v>
      </c>
      <c r="O15" s="31">
        <f>N15/6756/12</f>
        <v>0.030609828300769682</v>
      </c>
      <c r="P15" s="38">
        <v>4400</v>
      </c>
      <c r="Q15" s="39">
        <f>P15/6756/12</f>
        <v>0.05427274521413065</v>
      </c>
    </row>
    <row r="16" spans="1:17" ht="12.75">
      <c r="A16" s="5"/>
      <c r="B16" s="16"/>
      <c r="C16" s="16"/>
      <c r="D16" s="16"/>
      <c r="E16" s="16"/>
      <c r="F16" s="83"/>
      <c r="G16" s="83"/>
      <c r="H16" s="83"/>
      <c r="I16" s="83"/>
      <c r="J16" s="83"/>
      <c r="K16" s="84"/>
      <c r="L16" s="83"/>
      <c r="M16" s="85"/>
      <c r="N16" s="18"/>
      <c r="O16" s="31"/>
      <c r="P16" s="38"/>
      <c r="Q16" s="39"/>
    </row>
    <row r="17" spans="1:17" ht="12.75">
      <c r="A17" s="5" t="s">
        <v>20</v>
      </c>
      <c r="B17" s="16">
        <v>200.37</v>
      </c>
      <c r="C17" s="16"/>
      <c r="D17" s="16"/>
      <c r="E17" s="16"/>
      <c r="F17" s="83">
        <v>89.05</v>
      </c>
      <c r="G17" s="83"/>
      <c r="H17" s="83">
        <v>810.54</v>
      </c>
      <c r="I17" s="83"/>
      <c r="J17" s="83">
        <v>89.6</v>
      </c>
      <c r="K17" s="84">
        <v>210.87</v>
      </c>
      <c r="L17" s="83">
        <v>106.99</v>
      </c>
      <c r="M17" s="85">
        <f>51.92+51.98+22.99+20.01+112.73</f>
        <v>259.63</v>
      </c>
      <c r="N17" s="18">
        <f>SUM(B17:M17)</f>
        <v>1767.0499999999997</v>
      </c>
      <c r="O17" s="31">
        <f>N17/6756/12</f>
        <v>0.021796057825143076</v>
      </c>
      <c r="P17" s="38">
        <v>800</v>
      </c>
      <c r="Q17" s="39">
        <f>P17/6756/12</f>
        <v>0.009867771857114663</v>
      </c>
    </row>
    <row r="18" spans="1:17" ht="12.75">
      <c r="A18" s="5"/>
      <c r="B18" s="16"/>
      <c r="C18" s="16"/>
      <c r="D18" s="16"/>
      <c r="E18" s="16"/>
      <c r="F18" s="83"/>
      <c r="G18" s="83"/>
      <c r="H18" s="83"/>
      <c r="I18" s="83"/>
      <c r="J18" s="83"/>
      <c r="K18" s="84"/>
      <c r="L18" s="83"/>
      <c r="M18" s="85"/>
      <c r="N18" s="18"/>
      <c r="O18" s="31"/>
      <c r="P18" s="38"/>
      <c r="Q18" s="39"/>
    </row>
    <row r="19" spans="1:17" ht="12.75">
      <c r="A19" s="5" t="s">
        <v>21</v>
      </c>
      <c r="B19" s="16">
        <v>488</v>
      </c>
      <c r="C19" s="16">
        <v>487</v>
      </c>
      <c r="D19" s="16">
        <v>487</v>
      </c>
      <c r="E19" s="16">
        <v>487</v>
      </c>
      <c r="F19" s="83">
        <v>487</v>
      </c>
      <c r="G19" s="83">
        <v>487</v>
      </c>
      <c r="H19" s="83">
        <v>487</v>
      </c>
      <c r="I19" s="83">
        <v>487</v>
      </c>
      <c r="J19" s="83">
        <v>487</v>
      </c>
      <c r="K19" s="84">
        <v>487</v>
      </c>
      <c r="L19" s="83">
        <v>487</v>
      </c>
      <c r="M19" s="85">
        <v>484</v>
      </c>
      <c r="N19" s="18">
        <f>SUM(B19:M19)</f>
        <v>5842</v>
      </c>
      <c r="O19" s="31">
        <f>N19/6756/12</f>
        <v>0.07205940398657983</v>
      </c>
      <c r="P19" s="38">
        <v>5920</v>
      </c>
      <c r="Q19" s="39">
        <f>P19/6323/12</f>
        <v>0.07802203595339764</v>
      </c>
    </row>
    <row r="20" spans="1:17" ht="12.75">
      <c r="A20" s="5"/>
      <c r="B20" s="16"/>
      <c r="C20" s="16"/>
      <c r="D20" s="16"/>
      <c r="E20" s="16"/>
      <c r="F20" s="83"/>
      <c r="G20" s="83"/>
      <c r="H20" s="83"/>
      <c r="I20" s="83"/>
      <c r="J20" s="83"/>
      <c r="K20" s="84"/>
      <c r="L20" s="83"/>
      <c r="M20" s="85"/>
      <c r="N20" s="18"/>
      <c r="O20" s="31"/>
      <c r="P20" s="38"/>
      <c r="Q20" s="39"/>
    </row>
    <row r="21" spans="1:17" ht="12.75">
      <c r="A21" s="5" t="s">
        <v>22</v>
      </c>
      <c r="B21" s="16"/>
      <c r="C21" s="16"/>
      <c r="D21" s="16">
        <v>10770.58</v>
      </c>
      <c r="E21" s="16"/>
      <c r="F21" s="83"/>
      <c r="G21" s="83"/>
      <c r="H21" s="83"/>
      <c r="I21" s="83"/>
      <c r="J21" s="83"/>
      <c r="K21" s="84"/>
      <c r="L21" s="83"/>
      <c r="M21" s="85"/>
      <c r="N21" s="18">
        <f>SUM(B21:M21)</f>
        <v>10770.58</v>
      </c>
      <c r="O21" s="31">
        <f>N21/6756/12</f>
        <v>0.13285203276100258</v>
      </c>
      <c r="P21" s="38">
        <v>10770</v>
      </c>
      <c r="Q21" s="39">
        <f>P21/6323/12</f>
        <v>0.1419421160841373</v>
      </c>
    </row>
    <row r="22" spans="1:17" ht="12.75">
      <c r="A22" s="5"/>
      <c r="B22" s="16"/>
      <c r="C22" s="16"/>
      <c r="D22" s="16"/>
      <c r="E22" s="16"/>
      <c r="F22" s="83"/>
      <c r="G22" s="83"/>
      <c r="H22" s="83"/>
      <c r="I22" s="83"/>
      <c r="J22" s="83"/>
      <c r="K22" s="84"/>
      <c r="L22" s="83"/>
      <c r="M22" s="85"/>
      <c r="N22" s="18"/>
      <c r="O22" s="31"/>
      <c r="P22" s="38"/>
      <c r="Q22" s="39"/>
    </row>
    <row r="23" spans="1:17" ht="12.75">
      <c r="A23" s="5" t="s">
        <v>23</v>
      </c>
      <c r="B23" s="16"/>
      <c r="C23" s="16">
        <v>1173</v>
      </c>
      <c r="D23" s="16"/>
      <c r="E23" s="16"/>
      <c r="F23" s="83"/>
      <c r="G23" s="83"/>
      <c r="H23" s="83"/>
      <c r="I23" s="83">
        <v>1172</v>
      </c>
      <c r="J23" s="83"/>
      <c r="K23" s="84"/>
      <c r="L23" s="83"/>
      <c r="M23" s="85"/>
      <c r="N23" s="18">
        <f>SUM(B23:M23)</f>
        <v>2345</v>
      </c>
      <c r="O23" s="31">
        <f>N23/6756/12</f>
        <v>0.028924906256167355</v>
      </c>
      <c r="P23" s="38">
        <v>2500</v>
      </c>
      <c r="Q23" s="39">
        <f>P23/6756/12</f>
        <v>0.030836787053483323</v>
      </c>
    </row>
    <row r="24" spans="1:17" ht="12.75">
      <c r="A24" s="5"/>
      <c r="B24" s="16"/>
      <c r="C24" s="16"/>
      <c r="D24" s="16"/>
      <c r="E24" s="16"/>
      <c r="F24" s="83"/>
      <c r="G24" s="83"/>
      <c r="H24" s="83"/>
      <c r="I24" s="83"/>
      <c r="J24" s="83"/>
      <c r="K24" s="84"/>
      <c r="L24" s="83"/>
      <c r="M24" s="85"/>
      <c r="N24" s="18"/>
      <c r="O24" s="31"/>
      <c r="P24" s="38"/>
      <c r="Q24" s="39"/>
    </row>
    <row r="25" spans="1:17" ht="12.75">
      <c r="A25" s="5" t="s">
        <v>51</v>
      </c>
      <c r="B25" s="16"/>
      <c r="C25" s="16"/>
      <c r="D25" s="16"/>
      <c r="E25" s="16"/>
      <c r="F25" s="83"/>
      <c r="G25" s="83"/>
      <c r="H25" s="83"/>
      <c r="I25" s="83"/>
      <c r="J25" s="83"/>
      <c r="K25" s="84"/>
      <c r="L25" s="83"/>
      <c r="M25" s="85"/>
      <c r="N25" s="18">
        <f>SUM(B25:M25)</f>
        <v>0</v>
      </c>
      <c r="O25" s="31">
        <f>N25/6756/12</f>
        <v>0</v>
      </c>
      <c r="P25" s="38">
        <v>0</v>
      </c>
      <c r="Q25" s="40">
        <f>P25/6756/12</f>
        <v>0</v>
      </c>
    </row>
    <row r="26" spans="1:17" ht="12.75">
      <c r="A26" s="5"/>
      <c r="B26" s="16"/>
      <c r="C26" s="16"/>
      <c r="D26" s="16"/>
      <c r="E26" s="16"/>
      <c r="F26" s="83"/>
      <c r="G26" s="83"/>
      <c r="H26" s="83"/>
      <c r="I26" s="83"/>
      <c r="J26" s="83"/>
      <c r="K26" s="84"/>
      <c r="L26" s="83"/>
      <c r="M26" s="85"/>
      <c r="N26" s="18"/>
      <c r="O26" s="31"/>
      <c r="P26" s="38"/>
      <c r="Q26" s="39"/>
    </row>
    <row r="27" spans="1:17" ht="12.75">
      <c r="A27" s="5" t="s">
        <v>25</v>
      </c>
      <c r="B27" s="16">
        <v>3514.9</v>
      </c>
      <c r="C27" s="16">
        <v>3902.79</v>
      </c>
      <c r="D27" s="16">
        <v>4164.1</v>
      </c>
      <c r="E27" s="16">
        <v>3501.28</v>
      </c>
      <c r="F27" s="83">
        <v>3240.46</v>
      </c>
      <c r="G27" s="83">
        <v>3640.89</v>
      </c>
      <c r="H27" s="83">
        <v>3767.26</v>
      </c>
      <c r="I27" s="83">
        <v>4106.28</v>
      </c>
      <c r="J27" s="83">
        <v>4352.77</v>
      </c>
      <c r="K27" s="84">
        <v>3455.71</v>
      </c>
      <c r="L27" s="83">
        <v>3773.74</v>
      </c>
      <c r="M27" s="85">
        <v>6165.6</v>
      </c>
      <c r="N27" s="18">
        <f>SUM(B27:M27)</f>
        <v>47585.78</v>
      </c>
      <c r="O27" s="31">
        <f>N27/6756/12</f>
        <v>0.5869570258535622</v>
      </c>
      <c r="P27" s="38">
        <v>47600</v>
      </c>
      <c r="Q27" s="39">
        <f>P27/6756/12</f>
        <v>0.5871324254983225</v>
      </c>
    </row>
    <row r="28" spans="1:17" ht="12.75">
      <c r="A28" s="5"/>
      <c r="B28" s="16"/>
      <c r="C28" s="16"/>
      <c r="D28" s="16"/>
      <c r="E28" s="16"/>
      <c r="F28" s="83"/>
      <c r="G28" s="83"/>
      <c r="H28" s="83"/>
      <c r="I28" s="83"/>
      <c r="J28" s="83"/>
      <c r="K28" s="84"/>
      <c r="L28" s="83"/>
      <c r="M28" s="85"/>
      <c r="N28" s="18"/>
      <c r="O28" s="31"/>
      <c r="P28" s="38"/>
      <c r="Q28" s="39"/>
    </row>
    <row r="29" spans="1:17" ht="12.75">
      <c r="A29" s="5" t="s">
        <v>52</v>
      </c>
      <c r="B29" s="16">
        <v>2247.79</v>
      </c>
      <c r="C29" s="16">
        <v>1318.82</v>
      </c>
      <c r="D29" s="16">
        <v>564.92</v>
      </c>
      <c r="E29" s="16">
        <v>996.24</v>
      </c>
      <c r="F29" s="83">
        <v>1469.79</v>
      </c>
      <c r="G29" s="83">
        <v>776.18</v>
      </c>
      <c r="H29" s="83">
        <v>947.11</v>
      </c>
      <c r="I29" s="83">
        <v>411.07</v>
      </c>
      <c r="J29" s="83">
        <v>380.85</v>
      </c>
      <c r="K29" s="84">
        <v>776.44</v>
      </c>
      <c r="L29" s="83">
        <v>445.03</v>
      </c>
      <c r="M29" s="85">
        <v>1724.5</v>
      </c>
      <c r="N29" s="18">
        <f>SUM(B29:M29)</f>
        <v>12058.740000000002</v>
      </c>
      <c r="O29" s="41">
        <f>N29/6756/12</f>
        <v>0.14874111900532863</v>
      </c>
      <c r="P29" s="38">
        <v>11600</v>
      </c>
      <c r="Q29" s="40">
        <f>P29/6756/12</f>
        <v>0.14308269192816261</v>
      </c>
    </row>
    <row r="30" spans="1:17" ht="12.75">
      <c r="A30" s="5"/>
      <c r="B30" s="16"/>
      <c r="C30" s="16"/>
      <c r="D30" s="16"/>
      <c r="E30" s="16"/>
      <c r="F30" s="83"/>
      <c r="G30" s="83"/>
      <c r="H30" s="16"/>
      <c r="I30" s="16"/>
      <c r="J30" s="83"/>
      <c r="K30" s="84"/>
      <c r="L30" s="83"/>
      <c r="M30" s="85"/>
      <c r="N30" s="18"/>
      <c r="O30" s="31"/>
      <c r="P30" s="38"/>
      <c r="Q30" s="39"/>
    </row>
    <row r="31" spans="1:17" ht="12.75">
      <c r="A31" s="5" t="s">
        <v>53</v>
      </c>
      <c r="B31" s="16">
        <v>3501.69</v>
      </c>
      <c r="C31" s="16"/>
      <c r="D31" s="16"/>
      <c r="E31" s="16"/>
      <c r="F31" s="83"/>
      <c r="G31" s="83"/>
      <c r="H31" s="16"/>
      <c r="I31" s="16"/>
      <c r="J31" s="83"/>
      <c r="K31" s="83"/>
      <c r="L31" s="83"/>
      <c r="M31" s="85"/>
      <c r="N31" s="18">
        <f>SUM(B31:M31)</f>
        <v>3501.69</v>
      </c>
      <c r="O31" s="31">
        <f>N31/6756/12</f>
        <v>0.04319234754292481</v>
      </c>
      <c r="P31" s="38">
        <v>0</v>
      </c>
      <c r="Q31" s="39">
        <f>P31/6756/12</f>
        <v>0</v>
      </c>
    </row>
    <row r="32" spans="1:17" ht="12.75">
      <c r="A32" s="5"/>
      <c r="B32" s="13"/>
      <c r="C32" s="13"/>
      <c r="D32" s="13"/>
      <c r="E32" s="13"/>
      <c r="F32" s="86"/>
      <c r="G32" s="86"/>
      <c r="H32" s="13"/>
      <c r="I32" s="13"/>
      <c r="J32" s="13"/>
      <c r="K32" s="13"/>
      <c r="L32" s="86"/>
      <c r="M32" s="87"/>
      <c r="N32" s="15"/>
      <c r="O32" s="31"/>
      <c r="P32" s="42"/>
      <c r="Q32" s="43"/>
    </row>
    <row r="33" spans="1:17" ht="12.75">
      <c r="A33" s="20"/>
      <c r="B33" s="2"/>
      <c r="C33" s="2"/>
      <c r="D33" s="2"/>
      <c r="E33" s="2"/>
      <c r="F33" s="88"/>
      <c r="G33" s="88"/>
      <c r="H33" s="2"/>
      <c r="I33" s="2"/>
      <c r="J33" s="2"/>
      <c r="K33" s="2"/>
      <c r="L33" s="88"/>
      <c r="M33" s="89"/>
      <c r="N33" s="4"/>
      <c r="O33" s="28"/>
      <c r="P33" s="44"/>
      <c r="Q33" s="33"/>
    </row>
    <row r="34" spans="1:17" ht="12.75">
      <c r="A34" s="22"/>
      <c r="B34" s="16">
        <f>SUM(B7:B31)</f>
        <v>12928.1</v>
      </c>
      <c r="C34" s="16">
        <f>SUM(C7:C31)</f>
        <v>9203.33</v>
      </c>
      <c r="D34" s="16">
        <f>SUM(D7:D31)</f>
        <v>19193.6</v>
      </c>
      <c r="E34" s="16">
        <f>SUM(E7:E31)</f>
        <v>7201.82</v>
      </c>
      <c r="F34" s="83">
        <f>SUM(F7:F31)</f>
        <v>9529.9</v>
      </c>
      <c r="G34" s="83">
        <f>SUM(G7:G31)</f>
        <v>7774.52</v>
      </c>
      <c r="H34" s="16">
        <f>SUM(H7:H31)</f>
        <v>9435.789999999999</v>
      </c>
      <c r="I34" s="16">
        <f>SUM(I7:I31)</f>
        <v>12719.44</v>
      </c>
      <c r="J34" s="16">
        <f>SUM(J7:J31)</f>
        <v>8246.09</v>
      </c>
      <c r="K34" s="16">
        <f>SUM(K7:K31)</f>
        <v>6827.02</v>
      </c>
      <c r="L34" s="83">
        <f>SUM(L7:L31)</f>
        <v>6909.549999999999</v>
      </c>
      <c r="M34" s="90">
        <f>SUM(M7:M31)</f>
        <v>10780.07</v>
      </c>
      <c r="N34" s="18">
        <f>SUM(N7:N31)</f>
        <v>120749.23000000001</v>
      </c>
      <c r="O34" s="18">
        <f>SUM(O7:O31)</f>
        <v>1.4894073169528321</v>
      </c>
      <c r="P34" s="44">
        <f>SUM(P7:P31)</f>
        <v>120690</v>
      </c>
      <c r="Q34" s="45">
        <f>SUM(Q7:Q31)</f>
        <v>1.5027744934624412</v>
      </c>
    </row>
    <row r="35" spans="1:17" ht="12.75">
      <c r="A35" s="24"/>
      <c r="B35" s="10"/>
      <c r="C35" s="10"/>
      <c r="D35" s="10"/>
      <c r="E35" s="10"/>
      <c r="F35" s="91"/>
      <c r="G35" s="91"/>
      <c r="H35" s="10"/>
      <c r="I35" s="10"/>
      <c r="J35" s="10"/>
      <c r="K35" s="10"/>
      <c r="L35" s="91"/>
      <c r="M35" s="92"/>
      <c r="N35" s="12"/>
      <c r="O35" s="34"/>
      <c r="P35" s="46"/>
      <c r="Q35" s="43"/>
    </row>
    <row r="36" spans="1:17" ht="12.75">
      <c r="A36" s="47" t="s">
        <v>53</v>
      </c>
      <c r="B36" s="2">
        <v>40.26</v>
      </c>
      <c r="C36" s="2"/>
      <c r="D36" s="2"/>
      <c r="E36" s="2"/>
      <c r="F36" s="88"/>
      <c r="G36" s="88"/>
      <c r="H36" s="2"/>
      <c r="I36" s="2"/>
      <c r="J36" s="2"/>
      <c r="K36" s="2"/>
      <c r="L36" s="88"/>
      <c r="M36" s="88"/>
      <c r="N36" s="48"/>
      <c r="O36" s="49"/>
      <c r="P36" s="50"/>
      <c r="Q36" s="51"/>
    </row>
    <row r="37" spans="1:17" ht="12.75">
      <c r="A37" s="93" t="s">
        <v>54</v>
      </c>
      <c r="B37" s="16">
        <f>(B34-B19-B21-B25-B31)/6756*433</f>
        <v>572.8732282415631</v>
      </c>
      <c r="C37" s="16">
        <f>(C34-C19-C21-C25-C31)/6756*433</f>
        <v>558.639859384251</v>
      </c>
      <c r="D37" s="16">
        <f>(D34-D19-D21-D25-D31)/6756*433</f>
        <v>508.62887211367666</v>
      </c>
      <c r="E37" s="16">
        <f>(E34-E19-E21-E25-E31)/6756*433</f>
        <v>430.36072528123145</v>
      </c>
      <c r="F37" s="16">
        <f>(F34-F19-F21-F25-F31)/6756*433</f>
        <v>579.5701154529306</v>
      </c>
      <c r="G37" s="16">
        <f>(G34-G19-G21-G25-G31)/6756*433</f>
        <v>467.0657430432209</v>
      </c>
      <c r="H37" s="16">
        <f>(H34-H19-H21-H25-H31)/6756*433</f>
        <v>573.5384946714031</v>
      </c>
      <c r="I37" s="16">
        <f>(I34-I19-I21-I25-I31)/6756*433</f>
        <v>783.9914920071049</v>
      </c>
      <c r="J37" s="16">
        <f>(J34-J19-J21-J25-J31)/6756*433</f>
        <v>497.2892199526347</v>
      </c>
      <c r="K37" s="16">
        <f>(K34-K19-K21-K25-K31)/6756*433</f>
        <v>406.339351687389</v>
      </c>
      <c r="L37" s="16">
        <f>(L34-L19-L21-L25-L31)/6756*433</f>
        <v>411.628796625222</v>
      </c>
      <c r="M37" s="83">
        <f>(M34-M19-M21-M25-M31)/6756*433</f>
        <v>659.8872572528123</v>
      </c>
      <c r="N37" s="18">
        <f>SUM(B37:M38)</f>
        <v>6518.223155713441</v>
      </c>
      <c r="O37" s="52">
        <f>O34-O19-O21</f>
        <v>1.2844958802052497</v>
      </c>
      <c r="P37" s="53">
        <f>P34-P19-P21-P25</f>
        <v>104000</v>
      </c>
      <c r="Q37" s="52">
        <f>Q34-Q19-Q21-Q25</f>
        <v>1.2828103414249064</v>
      </c>
    </row>
    <row r="38" spans="1:17" ht="12.75">
      <c r="A38" s="9" t="s">
        <v>80</v>
      </c>
      <c r="B38" s="10">
        <v>68.41</v>
      </c>
      <c r="C38" s="10"/>
      <c r="D38" s="10"/>
      <c r="E38" s="10"/>
      <c r="F38" s="91"/>
      <c r="G38" s="91"/>
      <c r="H38" s="10"/>
      <c r="I38" s="10"/>
      <c r="J38" s="10"/>
      <c r="K38" s="10"/>
      <c r="L38" s="91"/>
      <c r="M38" s="91"/>
      <c r="N38" s="12"/>
      <c r="O38" s="54"/>
      <c r="P38" s="55"/>
      <c r="Q38" s="56"/>
    </row>
    <row r="39" spans="6:13" ht="12.75">
      <c r="F39" s="94"/>
      <c r="G39" s="94"/>
      <c r="L39" s="94"/>
      <c r="M39" s="94"/>
    </row>
    <row r="40" spans="1:17" ht="12.75">
      <c r="A40" t="s">
        <v>55</v>
      </c>
      <c r="F40" s="94"/>
      <c r="G40" s="94"/>
      <c r="J40" s="57"/>
      <c r="K40" s="57"/>
      <c r="L40" s="95"/>
      <c r="M40" s="95"/>
      <c r="P40" s="58"/>
      <c r="Q40" s="59"/>
    </row>
    <row r="41" spans="6:13" ht="12.75">
      <c r="F41" s="94"/>
      <c r="G41" s="94"/>
      <c r="L41" s="94"/>
      <c r="M41" s="94"/>
    </row>
    <row r="42" spans="6:13" ht="12.75">
      <c r="F42" s="94"/>
      <c r="G42" s="94"/>
      <c r="L42" s="94"/>
      <c r="M42" s="94"/>
    </row>
    <row r="43" spans="1:13" ht="12.75">
      <c r="A43" t="s">
        <v>56</v>
      </c>
      <c r="F43" s="94"/>
      <c r="G43" s="94"/>
      <c r="L43" s="94"/>
      <c r="M43" s="94"/>
    </row>
    <row r="44" spans="1:13" ht="12.75">
      <c r="A44" t="s">
        <v>57</v>
      </c>
      <c r="F44" s="94"/>
      <c r="G44" s="94"/>
      <c r="L44" s="94"/>
      <c r="M44" s="94"/>
    </row>
    <row r="45" spans="6:13" ht="12.75">
      <c r="F45" s="94"/>
      <c r="G45" s="94"/>
      <c r="L45" s="94"/>
      <c r="M45" s="94"/>
    </row>
    <row r="46" spans="6:13" ht="12.75">
      <c r="F46" s="94"/>
      <c r="G46" s="94"/>
      <c r="L46" s="94"/>
      <c r="M46" s="96" t="s">
        <v>58</v>
      </c>
    </row>
    <row r="47" spans="1:13" ht="12.75">
      <c r="A47" s="71">
        <v>2010</v>
      </c>
      <c r="B47" t="s">
        <v>27</v>
      </c>
      <c r="F47" s="94"/>
      <c r="G47" s="94"/>
      <c r="L47" s="94"/>
      <c r="M47" s="97" t="s">
        <v>78</v>
      </c>
    </row>
    <row r="48" spans="1:17" ht="12.75">
      <c r="A48" s="2"/>
      <c r="B48" s="2"/>
      <c r="C48" s="2"/>
      <c r="D48" s="2"/>
      <c r="E48" s="2"/>
      <c r="F48" s="88"/>
      <c r="G48" s="88"/>
      <c r="H48" s="2"/>
      <c r="I48" s="2"/>
      <c r="J48" s="2"/>
      <c r="K48" s="2"/>
      <c r="L48" s="88"/>
      <c r="M48" s="98"/>
      <c r="N48" s="4"/>
      <c r="O48" s="28"/>
      <c r="P48" s="29" t="s">
        <v>79</v>
      </c>
      <c r="Q48" s="30"/>
    </row>
    <row r="49" spans="1:17" ht="12.75">
      <c r="A49" s="5" t="s">
        <v>1</v>
      </c>
      <c r="B49" s="6" t="s">
        <v>2</v>
      </c>
      <c r="C49" s="6" t="s">
        <v>3</v>
      </c>
      <c r="D49" s="6" t="s">
        <v>4</v>
      </c>
      <c r="E49" s="6" t="s">
        <v>5</v>
      </c>
      <c r="F49" s="99" t="s">
        <v>6</v>
      </c>
      <c r="G49" s="99" t="s">
        <v>7</v>
      </c>
      <c r="H49" s="6" t="s">
        <v>8</v>
      </c>
      <c r="I49" s="6" t="s">
        <v>9</v>
      </c>
      <c r="J49" s="6" t="s">
        <v>10</v>
      </c>
      <c r="K49" s="6" t="s">
        <v>11</v>
      </c>
      <c r="L49" s="99" t="s">
        <v>12</v>
      </c>
      <c r="M49" s="100" t="s">
        <v>13</v>
      </c>
      <c r="N49" s="8" t="s">
        <v>14</v>
      </c>
      <c r="O49" s="31" t="s">
        <v>47</v>
      </c>
      <c r="P49" s="32"/>
      <c r="Q49" s="33" t="s">
        <v>47</v>
      </c>
    </row>
    <row r="50" spans="1:17" ht="12.75">
      <c r="A50" s="9"/>
      <c r="B50" s="10"/>
      <c r="C50" s="10"/>
      <c r="D50" s="10"/>
      <c r="E50" s="10"/>
      <c r="F50" s="91"/>
      <c r="G50" s="91"/>
      <c r="H50" s="10"/>
      <c r="I50" s="10"/>
      <c r="J50" s="10"/>
      <c r="K50" s="10"/>
      <c r="L50" s="91"/>
      <c r="M50" s="101"/>
      <c r="N50" s="12"/>
      <c r="O50" s="34"/>
      <c r="P50" s="32" t="s">
        <v>48</v>
      </c>
      <c r="Q50" s="35" t="s">
        <v>49</v>
      </c>
    </row>
    <row r="51" spans="1:17" ht="12.75">
      <c r="A51" s="5"/>
      <c r="B51" s="13"/>
      <c r="C51" s="13"/>
      <c r="D51" s="13"/>
      <c r="E51" s="13"/>
      <c r="F51" s="86"/>
      <c r="G51" s="86"/>
      <c r="H51" s="13"/>
      <c r="I51" s="13"/>
      <c r="J51" s="13"/>
      <c r="K51" s="13"/>
      <c r="L51" s="86"/>
      <c r="M51" s="87"/>
      <c r="N51" s="15"/>
      <c r="O51" s="31"/>
      <c r="P51" s="36"/>
      <c r="Q51" s="37"/>
    </row>
    <row r="52" spans="1:17" ht="12.75">
      <c r="A52" s="5" t="s">
        <v>15</v>
      </c>
      <c r="B52" s="16">
        <v>1036.9</v>
      </c>
      <c r="C52" s="16">
        <v>1036.9</v>
      </c>
      <c r="D52" s="16">
        <v>1037</v>
      </c>
      <c r="E52" s="16">
        <v>1037</v>
      </c>
      <c r="F52" s="83">
        <v>1037</v>
      </c>
      <c r="G52" s="83">
        <v>1037</v>
      </c>
      <c r="H52" s="83">
        <v>1037</v>
      </c>
      <c r="I52" s="83">
        <v>1037</v>
      </c>
      <c r="J52" s="83">
        <v>1036.9</v>
      </c>
      <c r="K52" s="83">
        <v>1036.9</v>
      </c>
      <c r="L52" s="83">
        <v>1037</v>
      </c>
      <c r="M52" s="85">
        <v>1037</v>
      </c>
      <c r="N52" s="18">
        <f>SUM(B52:M52)</f>
        <v>12443.599999999999</v>
      </c>
      <c r="O52" s="41">
        <f>N52/3276.8/12</f>
        <v>0.3164571126302083</v>
      </c>
      <c r="P52" s="38">
        <v>13100</v>
      </c>
      <c r="Q52" s="45">
        <f>P52/3276.8/12</f>
        <v>0.3331502278645833</v>
      </c>
    </row>
    <row r="53" spans="1:17" ht="12.75">
      <c r="A53" s="19"/>
      <c r="B53" s="16"/>
      <c r="C53" s="16"/>
      <c r="D53" s="16"/>
      <c r="E53" s="16"/>
      <c r="F53" s="83"/>
      <c r="G53" s="83"/>
      <c r="H53" s="83"/>
      <c r="I53" s="83"/>
      <c r="J53" s="83"/>
      <c r="K53" s="83"/>
      <c r="L53" s="83"/>
      <c r="M53" s="85"/>
      <c r="N53" s="18"/>
      <c r="O53" s="41"/>
      <c r="P53" s="38"/>
      <c r="Q53" s="45"/>
    </row>
    <row r="54" spans="1:17" ht="12.75">
      <c r="A54" s="5" t="s">
        <v>16</v>
      </c>
      <c r="B54" s="16">
        <v>774.6</v>
      </c>
      <c r="C54" s="16"/>
      <c r="D54" s="16">
        <v>711.06</v>
      </c>
      <c r="E54" s="16"/>
      <c r="F54" s="83">
        <v>637.39</v>
      </c>
      <c r="G54" s="83"/>
      <c r="H54" s="83">
        <v>564.81</v>
      </c>
      <c r="I54" s="83"/>
      <c r="J54" s="83">
        <v>614.68</v>
      </c>
      <c r="K54" s="83"/>
      <c r="L54" s="83">
        <v>704.52</v>
      </c>
      <c r="M54" s="85"/>
      <c r="N54" s="18">
        <f>SUM(B54:M54)</f>
        <v>4007.0599999999995</v>
      </c>
      <c r="O54" s="41">
        <f>N54/3276.8/12</f>
        <v>0.10190480550130206</v>
      </c>
      <c r="P54" s="38">
        <v>4200</v>
      </c>
      <c r="Q54" s="45">
        <f>P54/3276.8/12</f>
        <v>0.1068115234375</v>
      </c>
    </row>
    <row r="55" spans="1:17" ht="12.75">
      <c r="A55" s="5"/>
      <c r="B55" s="16"/>
      <c r="C55" s="16"/>
      <c r="D55" s="16"/>
      <c r="E55" s="16"/>
      <c r="F55" s="83"/>
      <c r="G55" s="83"/>
      <c r="H55" s="83"/>
      <c r="I55" s="83"/>
      <c r="J55" s="83"/>
      <c r="K55" s="83"/>
      <c r="L55" s="83"/>
      <c r="M55" s="85"/>
      <c r="N55" s="18"/>
      <c r="O55" s="41"/>
      <c r="P55" s="38"/>
      <c r="Q55" s="45"/>
    </row>
    <row r="56" spans="1:17" ht="12.75">
      <c r="A56" s="5" t="s">
        <v>18</v>
      </c>
      <c r="B56" s="16">
        <v>704.36</v>
      </c>
      <c r="C56" s="16">
        <v>704.36</v>
      </c>
      <c r="D56" s="16">
        <v>626.1</v>
      </c>
      <c r="E56" s="16">
        <v>626.1</v>
      </c>
      <c r="F56" s="83">
        <v>195.7</v>
      </c>
      <c r="G56" s="83">
        <v>515.86</v>
      </c>
      <c r="H56" s="83">
        <v>1056.4</v>
      </c>
      <c r="I56" s="83">
        <v>691.3</v>
      </c>
      <c r="J56" s="83">
        <v>626</v>
      </c>
      <c r="K56" s="83">
        <v>195.6</v>
      </c>
      <c r="L56" s="83"/>
      <c r="M56" s="85">
        <v>195.6</v>
      </c>
      <c r="N56" s="18">
        <f>SUM(B56:M56)</f>
        <v>6137.38</v>
      </c>
      <c r="O56" s="41">
        <f>N56/3276.8/12</f>
        <v>0.1560816446940104</v>
      </c>
      <c r="P56" s="38">
        <v>7000</v>
      </c>
      <c r="Q56" s="45">
        <f>P56/3276.8/12</f>
        <v>0.17801920572916666</v>
      </c>
    </row>
    <row r="57" spans="1:17" ht="12.75">
      <c r="A57" s="5"/>
      <c r="B57" s="16"/>
      <c r="C57" s="16"/>
      <c r="D57" s="16"/>
      <c r="E57" s="16"/>
      <c r="F57" s="83"/>
      <c r="G57" s="83"/>
      <c r="H57" s="83"/>
      <c r="I57" s="83"/>
      <c r="J57" s="83"/>
      <c r="K57" s="83"/>
      <c r="L57" s="83"/>
      <c r="M57" s="85"/>
      <c r="N57" s="18"/>
      <c r="O57" s="41"/>
      <c r="P57" s="38"/>
      <c r="Q57" s="45"/>
    </row>
    <row r="58" spans="1:17" ht="12.75">
      <c r="A58" s="5" t="s">
        <v>19</v>
      </c>
      <c r="B58" s="16"/>
      <c r="C58" s="16"/>
      <c r="D58" s="16"/>
      <c r="E58" s="16"/>
      <c r="F58" s="83"/>
      <c r="G58" s="83">
        <v>459</v>
      </c>
      <c r="H58" s="83"/>
      <c r="I58" s="83"/>
      <c r="J58" s="83"/>
      <c r="K58" s="83"/>
      <c r="L58" s="83"/>
      <c r="M58" s="85"/>
      <c r="N58" s="18">
        <f>SUM(B58:M58)</f>
        <v>459</v>
      </c>
      <c r="O58" s="41">
        <f>N58/3276.8/12</f>
        <v>0.0116729736328125</v>
      </c>
      <c r="P58" s="38">
        <v>1400</v>
      </c>
      <c r="Q58" s="45">
        <f>P58/3276.8/12</f>
        <v>0.035603841145833336</v>
      </c>
    </row>
    <row r="59" spans="1:17" ht="12.75">
      <c r="A59" s="5"/>
      <c r="B59" s="16"/>
      <c r="C59" s="16"/>
      <c r="D59" s="16"/>
      <c r="E59" s="16"/>
      <c r="F59" s="83"/>
      <c r="G59" s="83"/>
      <c r="H59" s="83"/>
      <c r="I59" s="83"/>
      <c r="J59" s="83"/>
      <c r="K59" s="83"/>
      <c r="L59" s="83"/>
      <c r="M59" s="85"/>
      <c r="N59" s="18"/>
      <c r="O59" s="41"/>
      <c r="P59" s="38"/>
      <c r="Q59" s="45"/>
    </row>
    <row r="60" spans="1:17" ht="12.75">
      <c r="A60" s="5" t="s">
        <v>20</v>
      </c>
      <c r="B60" s="16"/>
      <c r="C60" s="16"/>
      <c r="D60" s="16"/>
      <c r="E60" s="16"/>
      <c r="F60" s="83"/>
      <c r="G60" s="83"/>
      <c r="H60" s="83">
        <v>179</v>
      </c>
      <c r="I60" s="83"/>
      <c r="J60" s="83"/>
      <c r="K60" s="83">
        <v>157.26</v>
      </c>
      <c r="L60" s="83"/>
      <c r="M60" s="85"/>
      <c r="N60" s="18">
        <f>SUM(B60:M60)</f>
        <v>336.26</v>
      </c>
      <c r="O60" s="41">
        <f>N60/3276.8/12</f>
        <v>0.008551534016927083</v>
      </c>
      <c r="P60" s="38">
        <v>400</v>
      </c>
      <c r="Q60" s="45">
        <f>P60/3276.8/12</f>
        <v>0.010172526041666666</v>
      </c>
    </row>
    <row r="61" spans="1:17" ht="12.75">
      <c r="A61" s="5"/>
      <c r="B61" s="16"/>
      <c r="C61" s="16"/>
      <c r="D61" s="16"/>
      <c r="E61" s="16"/>
      <c r="F61" s="83"/>
      <c r="G61" s="83"/>
      <c r="H61" s="83"/>
      <c r="I61" s="83"/>
      <c r="J61" s="83"/>
      <c r="K61" s="83"/>
      <c r="L61" s="83"/>
      <c r="M61" s="85"/>
      <c r="N61" s="18"/>
      <c r="O61" s="41"/>
      <c r="P61" s="38"/>
      <c r="Q61" s="45"/>
    </row>
    <row r="62" spans="1:17" ht="12.75">
      <c r="A62" s="5" t="s">
        <v>21</v>
      </c>
      <c r="B62" s="16">
        <v>215</v>
      </c>
      <c r="C62" s="16">
        <v>214</v>
      </c>
      <c r="D62" s="16">
        <v>214</v>
      </c>
      <c r="E62" s="16">
        <v>214</v>
      </c>
      <c r="F62" s="83">
        <v>214</v>
      </c>
      <c r="G62" s="83">
        <v>214</v>
      </c>
      <c r="H62" s="83">
        <v>214</v>
      </c>
      <c r="I62" s="83">
        <v>214</v>
      </c>
      <c r="J62" s="83">
        <v>214</v>
      </c>
      <c r="K62" s="83">
        <v>214</v>
      </c>
      <c r="L62" s="83">
        <v>214</v>
      </c>
      <c r="M62" s="85">
        <v>217</v>
      </c>
      <c r="N62" s="18">
        <f>SUM(B62:M62)</f>
        <v>2572</v>
      </c>
      <c r="O62" s="41">
        <f>N62/3276.8/12</f>
        <v>0.06540934244791667</v>
      </c>
      <c r="P62" s="38">
        <v>2610</v>
      </c>
      <c r="Q62" s="45">
        <f>P62/3276.8/12</f>
        <v>0.066375732421875</v>
      </c>
    </row>
    <row r="63" spans="1:17" ht="12.75">
      <c r="A63" s="5"/>
      <c r="B63" s="16"/>
      <c r="C63" s="16"/>
      <c r="D63" s="16"/>
      <c r="E63" s="16"/>
      <c r="F63" s="83"/>
      <c r="G63" s="83"/>
      <c r="H63" s="83"/>
      <c r="I63" s="83"/>
      <c r="J63" s="83"/>
      <c r="K63" s="83"/>
      <c r="L63" s="83"/>
      <c r="M63" s="85"/>
      <c r="N63" s="18"/>
      <c r="O63" s="41"/>
      <c r="P63" s="38"/>
      <c r="Q63" s="45"/>
    </row>
    <row r="64" spans="1:17" ht="12.75">
      <c r="A64" s="5" t="s">
        <v>23</v>
      </c>
      <c r="B64" s="16">
        <v>1216</v>
      </c>
      <c r="C64" s="16">
        <v>584</v>
      </c>
      <c r="D64" s="16"/>
      <c r="E64" s="16"/>
      <c r="F64" s="83"/>
      <c r="G64" s="83"/>
      <c r="H64" s="83">
        <v>1216</v>
      </c>
      <c r="I64" s="83">
        <v>583</v>
      </c>
      <c r="J64" s="83"/>
      <c r="K64" s="83"/>
      <c r="L64" s="83"/>
      <c r="M64" s="85"/>
      <c r="N64" s="18">
        <f>SUM(B64:M64)</f>
        <v>3599</v>
      </c>
      <c r="O64" s="41">
        <f>N64/3276.8/12</f>
        <v>0.09152730305989583</v>
      </c>
      <c r="P64" s="38">
        <v>3700</v>
      </c>
      <c r="Q64" s="45">
        <f>P64/3276.8/12</f>
        <v>0.09409586588541667</v>
      </c>
    </row>
    <row r="65" spans="1:17" ht="12.75">
      <c r="A65" s="5"/>
      <c r="B65" s="16"/>
      <c r="C65" s="16"/>
      <c r="D65" s="16"/>
      <c r="E65" s="16"/>
      <c r="F65" s="83"/>
      <c r="G65" s="83"/>
      <c r="H65" s="83"/>
      <c r="I65" s="83"/>
      <c r="J65" s="83"/>
      <c r="K65" s="83"/>
      <c r="L65" s="83"/>
      <c r="M65" s="85"/>
      <c r="N65" s="18"/>
      <c r="O65" s="41"/>
      <c r="P65" s="38"/>
      <c r="Q65" s="45"/>
    </row>
    <row r="66" spans="1:17" ht="12.75">
      <c r="A66" s="5" t="s">
        <v>25</v>
      </c>
      <c r="B66" s="16">
        <v>1705.74</v>
      </c>
      <c r="C66" s="16">
        <v>1893.98</v>
      </c>
      <c r="D66" s="16">
        <v>2020.78</v>
      </c>
      <c r="E66" s="16">
        <v>1699.13</v>
      </c>
      <c r="F66" s="83">
        <v>1572.55</v>
      </c>
      <c r="G66" s="83">
        <v>1766.88</v>
      </c>
      <c r="H66" s="83">
        <v>1828.2</v>
      </c>
      <c r="I66" s="83">
        <v>1992.72</v>
      </c>
      <c r="J66" s="83">
        <v>2112.34</v>
      </c>
      <c r="K66" s="83">
        <v>1677.01</v>
      </c>
      <c r="L66" s="83">
        <v>1831.35</v>
      </c>
      <c r="M66" s="85">
        <v>2992.09</v>
      </c>
      <c r="N66" s="18">
        <f>SUM(B66:M66)</f>
        <v>23092.77</v>
      </c>
      <c r="O66" s="41">
        <f>N66/3276.8/12</f>
        <v>0.5872795104980468</v>
      </c>
      <c r="P66" s="38">
        <v>23100</v>
      </c>
      <c r="Q66" s="45">
        <f>P66/3276.8/12</f>
        <v>0.58746337890625</v>
      </c>
    </row>
    <row r="67" spans="1:17" ht="12.75">
      <c r="A67" s="5"/>
      <c r="B67" s="16"/>
      <c r="C67" s="16"/>
      <c r="D67" s="16"/>
      <c r="E67" s="16"/>
      <c r="F67" s="83"/>
      <c r="G67" s="83"/>
      <c r="H67" s="83"/>
      <c r="I67" s="83"/>
      <c r="J67" s="83"/>
      <c r="K67" s="83"/>
      <c r="L67" s="83"/>
      <c r="M67" s="85"/>
      <c r="N67" s="18"/>
      <c r="O67" s="41"/>
      <c r="P67" s="38"/>
      <c r="Q67" s="45"/>
    </row>
    <row r="68" spans="1:17" ht="12.75">
      <c r="A68" s="5" t="s">
        <v>59</v>
      </c>
      <c r="B68" s="16">
        <v>1090.82</v>
      </c>
      <c r="C68" s="16">
        <v>640.01</v>
      </c>
      <c r="D68" s="16">
        <v>274.15</v>
      </c>
      <c r="E68" s="16">
        <v>483.46</v>
      </c>
      <c r="F68" s="83">
        <v>713.27</v>
      </c>
      <c r="G68" s="83">
        <v>376.67</v>
      </c>
      <c r="H68" s="83">
        <v>459.62</v>
      </c>
      <c r="I68" s="83">
        <v>199.49</v>
      </c>
      <c r="J68" s="83">
        <v>184.82</v>
      </c>
      <c r="K68" s="83">
        <v>376.8</v>
      </c>
      <c r="L68" s="83">
        <v>215.96</v>
      </c>
      <c r="M68" s="85">
        <v>836.87</v>
      </c>
      <c r="N68" s="18">
        <f>SUM(B68:M68)</f>
        <v>5851.9400000000005</v>
      </c>
      <c r="O68" s="41">
        <f>N68/3276.8/12</f>
        <v>0.1488225301106771</v>
      </c>
      <c r="P68" s="38">
        <v>5500</v>
      </c>
      <c r="Q68" s="45">
        <f>P68/3276.8/12</f>
        <v>0.13987223307291666</v>
      </c>
    </row>
    <row r="69" spans="1:17" ht="12.75">
      <c r="A69" s="5"/>
      <c r="B69" s="16"/>
      <c r="C69" s="16"/>
      <c r="D69" s="16"/>
      <c r="E69" s="16"/>
      <c r="F69" s="83"/>
      <c r="G69" s="83"/>
      <c r="H69" s="83"/>
      <c r="I69" s="83"/>
      <c r="J69" s="83"/>
      <c r="K69" s="83"/>
      <c r="L69" s="83"/>
      <c r="M69" s="85"/>
      <c r="N69" s="18"/>
      <c r="O69" s="41"/>
      <c r="P69" s="38"/>
      <c r="Q69" s="45"/>
    </row>
    <row r="70" spans="1:17" ht="12.75">
      <c r="A70" s="5" t="s">
        <v>60</v>
      </c>
      <c r="B70" s="16">
        <v>4500</v>
      </c>
      <c r="C70" s="16">
        <v>21</v>
      </c>
      <c r="D70" s="16"/>
      <c r="E70" s="16"/>
      <c r="F70" s="83"/>
      <c r="G70" s="83"/>
      <c r="H70" s="83"/>
      <c r="I70" s="83">
        <v>69</v>
      </c>
      <c r="J70" s="83"/>
      <c r="K70" s="83"/>
      <c r="L70" s="83"/>
      <c r="M70" s="85">
        <v>21</v>
      </c>
      <c r="N70" s="18">
        <f>SUM(B70:M70)</f>
        <v>4611</v>
      </c>
      <c r="O70" s="41">
        <f>N70/3276.8/12</f>
        <v>0.1172637939453125</v>
      </c>
      <c r="P70" s="38">
        <v>4000</v>
      </c>
      <c r="Q70" s="45">
        <f>P70/3276.8/12</f>
        <v>0.10172526041666667</v>
      </c>
    </row>
    <row r="71" spans="1:17" ht="12.75">
      <c r="A71" s="5"/>
      <c r="B71" s="16"/>
      <c r="C71" s="16"/>
      <c r="D71" s="16"/>
      <c r="E71" s="16"/>
      <c r="F71" s="83"/>
      <c r="G71" s="83"/>
      <c r="H71" s="83"/>
      <c r="I71" s="83"/>
      <c r="J71" s="16"/>
      <c r="K71" s="83"/>
      <c r="L71" s="83"/>
      <c r="M71" s="85"/>
      <c r="N71" s="18"/>
      <c r="O71" s="41"/>
      <c r="P71" s="38"/>
      <c r="Q71" s="45"/>
    </row>
    <row r="72" spans="1:17" ht="12.75">
      <c r="A72" s="5" t="s">
        <v>53</v>
      </c>
      <c r="B72" s="16">
        <v>3265.54</v>
      </c>
      <c r="C72" s="16"/>
      <c r="D72" s="16"/>
      <c r="E72" s="16"/>
      <c r="F72" s="83"/>
      <c r="G72" s="83"/>
      <c r="H72" s="83"/>
      <c r="I72" s="83"/>
      <c r="J72" s="16"/>
      <c r="K72" s="16"/>
      <c r="L72" s="83"/>
      <c r="M72" s="85"/>
      <c r="N72" s="18">
        <f>SUM(B72:M72)</f>
        <v>3265.54</v>
      </c>
      <c r="O72" s="41">
        <f>N72/3276.8/12</f>
        <v>0.08304697672526042</v>
      </c>
      <c r="P72" s="38">
        <v>2000</v>
      </c>
      <c r="Q72" s="45">
        <f>P72/3276.8/12</f>
        <v>0.050862630208333336</v>
      </c>
    </row>
    <row r="73" spans="1:17" ht="12.75">
      <c r="A73" s="5"/>
      <c r="B73" s="13"/>
      <c r="C73" s="13"/>
      <c r="D73" s="13"/>
      <c r="E73" s="13"/>
      <c r="F73" s="86"/>
      <c r="G73" s="86"/>
      <c r="H73" s="13"/>
      <c r="I73" s="13"/>
      <c r="J73" s="13"/>
      <c r="K73" s="13"/>
      <c r="L73" s="86"/>
      <c r="M73" s="87"/>
      <c r="N73" s="18"/>
      <c r="O73" s="41"/>
      <c r="P73" s="61"/>
      <c r="Q73" s="62"/>
    </row>
    <row r="74" spans="1:17" ht="12.75">
      <c r="A74" s="20"/>
      <c r="B74" s="2"/>
      <c r="C74" s="2"/>
      <c r="D74" s="2"/>
      <c r="E74" s="2"/>
      <c r="F74" s="88"/>
      <c r="G74" s="88"/>
      <c r="H74" s="2"/>
      <c r="I74" s="2"/>
      <c r="J74" s="2"/>
      <c r="K74" s="2"/>
      <c r="L74" s="88"/>
      <c r="M74" s="89"/>
      <c r="N74" s="48"/>
      <c r="O74" s="63"/>
      <c r="P74" s="38"/>
      <c r="Q74" s="45"/>
    </row>
    <row r="75" spans="1:17" ht="12.75">
      <c r="A75" s="22"/>
      <c r="B75" s="16">
        <f>SUM(B52:B72)</f>
        <v>14508.960000000001</v>
      </c>
      <c r="C75" s="16">
        <f>SUM(C52:C72)</f>
        <v>5094.25</v>
      </c>
      <c r="D75" s="16">
        <f>SUM(D52:D72)</f>
        <v>4883.09</v>
      </c>
      <c r="E75" s="16">
        <f>SUM(E52:E72)</f>
        <v>4059.69</v>
      </c>
      <c r="F75" s="83">
        <f>SUM(F52:F72)</f>
        <v>4369.91</v>
      </c>
      <c r="G75" s="83">
        <f>SUM(G52:G72)</f>
        <v>4369.41</v>
      </c>
      <c r="H75" s="16">
        <f>SUM(H52:H72)</f>
        <v>6555.03</v>
      </c>
      <c r="I75" s="16">
        <f>SUM(I52:I72)</f>
        <v>4786.51</v>
      </c>
      <c r="J75" s="16">
        <f>SUM(J52:J72)</f>
        <v>4788.74</v>
      </c>
      <c r="K75" s="16">
        <f>SUM(K52:K72)</f>
        <v>3657.57</v>
      </c>
      <c r="L75" s="83">
        <f>SUM(L52:L72)</f>
        <v>4002.83</v>
      </c>
      <c r="M75" s="90">
        <f>SUM(M52:M72)</f>
        <v>5299.56</v>
      </c>
      <c r="N75" s="18">
        <f>SUM(N52:N72)</f>
        <v>66375.55</v>
      </c>
      <c r="O75" s="18">
        <f>SUM(O48:O72)</f>
        <v>1.6880175272623696</v>
      </c>
      <c r="P75" s="38">
        <f>SUM(P48:P72)</f>
        <v>67010</v>
      </c>
      <c r="Q75" s="45">
        <f>SUM(Q48:Q72)</f>
        <v>1.7041524251302083</v>
      </c>
    </row>
    <row r="76" spans="1:17" ht="12.75">
      <c r="A76" s="24"/>
      <c r="B76" s="10"/>
      <c r="C76" s="10"/>
      <c r="D76" s="10"/>
      <c r="E76" s="10"/>
      <c r="F76" s="91"/>
      <c r="G76" s="91"/>
      <c r="H76" s="10"/>
      <c r="I76" s="10"/>
      <c r="J76" s="10"/>
      <c r="K76" s="10"/>
      <c r="L76" s="91"/>
      <c r="M76" s="92"/>
      <c r="N76" s="64"/>
      <c r="O76" s="65"/>
      <c r="P76" s="61"/>
      <c r="Q76" s="62"/>
    </row>
    <row r="77" spans="1:17" ht="12.75">
      <c r="A77" s="47"/>
      <c r="B77" s="2"/>
      <c r="C77" s="2"/>
      <c r="D77" s="2"/>
      <c r="E77" s="2"/>
      <c r="F77" s="88"/>
      <c r="G77" s="88"/>
      <c r="H77" s="2"/>
      <c r="I77" s="2"/>
      <c r="J77" s="2"/>
      <c r="K77" s="2"/>
      <c r="L77" s="88"/>
      <c r="M77" s="88"/>
      <c r="N77" s="48"/>
      <c r="O77" s="49"/>
      <c r="P77" s="50"/>
      <c r="Q77" s="51"/>
    </row>
    <row r="78" spans="1:17" ht="12.75">
      <c r="A78" s="5" t="s">
        <v>61</v>
      </c>
      <c r="B78" s="13"/>
      <c r="C78" s="13"/>
      <c r="D78" s="13"/>
      <c r="E78" s="13"/>
      <c r="F78" s="86"/>
      <c r="G78" s="86"/>
      <c r="H78" s="13"/>
      <c r="I78" s="13"/>
      <c r="J78" s="13"/>
      <c r="K78" s="13"/>
      <c r="L78" s="86"/>
      <c r="M78" s="86"/>
      <c r="N78" s="18">
        <f>N75-N70</f>
        <v>61764.55</v>
      </c>
      <c r="O78" s="52">
        <f>N78/3276.8/12</f>
        <v>1.5707537333170574</v>
      </c>
      <c r="P78" s="53">
        <f>P75-P70</f>
        <v>63010</v>
      </c>
      <c r="Q78" s="52">
        <f>P78/3276.8/12</f>
        <v>1.6024271647135417</v>
      </c>
    </row>
    <row r="79" spans="1:17" ht="12.75">
      <c r="A79" s="9"/>
      <c r="B79" s="10"/>
      <c r="C79" s="10"/>
      <c r="D79" s="10"/>
      <c r="E79" s="10"/>
      <c r="F79" s="91"/>
      <c r="G79" s="91"/>
      <c r="H79" s="10"/>
      <c r="I79" s="10"/>
      <c r="J79" s="10"/>
      <c r="K79" s="10"/>
      <c r="L79" s="91"/>
      <c r="M79" s="91"/>
      <c r="N79" s="12"/>
      <c r="O79" s="54"/>
      <c r="P79" s="55"/>
      <c r="Q79" s="56"/>
    </row>
    <row r="80" spans="6:13" ht="12.75">
      <c r="F80" s="94"/>
      <c r="G80" s="94"/>
      <c r="L80" s="94"/>
      <c r="M80" s="94"/>
    </row>
    <row r="81" spans="1:13" ht="12.75">
      <c r="A81" t="s">
        <v>62</v>
      </c>
      <c r="B81" t="s">
        <v>63</v>
      </c>
      <c r="C81" t="s">
        <v>62</v>
      </c>
      <c r="F81" s="94"/>
      <c r="G81" s="94"/>
      <c r="L81" s="94"/>
      <c r="M81" s="94"/>
    </row>
    <row r="82" spans="1:13" ht="12.75">
      <c r="A82" s="66" t="s">
        <v>81</v>
      </c>
      <c r="B82" s="67">
        <v>3231.32</v>
      </c>
      <c r="C82" s="67">
        <v>811.28</v>
      </c>
      <c r="F82" s="94"/>
      <c r="G82" s="94"/>
      <c r="L82" s="94"/>
      <c r="M82" s="94"/>
    </row>
    <row r="83" spans="1:13" ht="12.75">
      <c r="A83" s="66" t="s">
        <v>82</v>
      </c>
      <c r="B83" s="67">
        <f>1041.6*5*12</f>
        <v>62496</v>
      </c>
      <c r="C83" s="102">
        <f>2237*5.7*12</f>
        <v>153010.8</v>
      </c>
      <c r="F83" s="94"/>
      <c r="G83" s="94"/>
      <c r="L83" s="94"/>
      <c r="M83" s="94"/>
    </row>
    <row r="84" spans="1:13" ht="12.75">
      <c r="A84" s="66" t="s">
        <v>83</v>
      </c>
      <c r="B84" s="67">
        <v>62961.63</v>
      </c>
      <c r="C84" s="102">
        <v>152219.19</v>
      </c>
      <c r="F84" s="94"/>
      <c r="G84" s="94"/>
      <c r="L84" s="94"/>
      <c r="M84" s="94"/>
    </row>
    <row r="85" spans="1:13" ht="12.75">
      <c r="A85" s="66" t="s">
        <v>67</v>
      </c>
      <c r="B85" s="67">
        <v>1500</v>
      </c>
      <c r="C85" s="67">
        <v>3048</v>
      </c>
      <c r="F85" s="94"/>
      <c r="G85" s="94"/>
      <c r="L85" s="94"/>
      <c r="M85" s="94"/>
    </row>
    <row r="86" spans="1:13" ht="12.75">
      <c r="A86" s="66"/>
      <c r="B86" s="67">
        <f>B82+B83-B84-B85</f>
        <v>1265.6900000000096</v>
      </c>
      <c r="C86" s="67">
        <f>C82+C83-C84-C85</f>
        <v>-1445.1100000000151</v>
      </c>
      <c r="F86" s="94"/>
      <c r="G86" s="94"/>
      <c r="L86" s="94"/>
      <c r="M86" s="94"/>
    </row>
    <row r="87" spans="6:13" ht="12.75">
      <c r="F87" s="94"/>
      <c r="G87" s="94"/>
      <c r="L87" s="94"/>
      <c r="M87" s="94"/>
    </row>
    <row r="88" spans="6:13" ht="12.75">
      <c r="F88" s="94"/>
      <c r="G88" s="94"/>
      <c r="L88" s="94"/>
      <c r="M88" s="94"/>
    </row>
    <row r="89" spans="6:13" ht="12.75">
      <c r="F89" s="94"/>
      <c r="G89" s="94"/>
      <c r="L89" s="94"/>
      <c r="M89" s="94"/>
    </row>
    <row r="90" spans="6:13" ht="12.75">
      <c r="F90" s="94"/>
      <c r="G90" s="94"/>
      <c r="L90" s="94"/>
      <c r="M90" s="94"/>
    </row>
    <row r="91" spans="6:13" ht="12.75">
      <c r="F91" s="94"/>
      <c r="G91" s="94"/>
      <c r="L91" s="94"/>
      <c r="M91" s="96" t="s">
        <v>68</v>
      </c>
    </row>
    <row r="92" spans="1:13" ht="12.75">
      <c r="A92" s="71">
        <v>2010</v>
      </c>
      <c r="B92" t="s">
        <v>29</v>
      </c>
      <c r="F92" s="94"/>
      <c r="G92" s="94"/>
      <c r="L92" s="94"/>
      <c r="M92" s="97" t="s">
        <v>78</v>
      </c>
    </row>
    <row r="93" spans="1:17" ht="12.75">
      <c r="A93" s="2"/>
      <c r="B93" s="2"/>
      <c r="C93" s="2"/>
      <c r="D93" s="2"/>
      <c r="E93" s="2"/>
      <c r="F93" s="88"/>
      <c r="G93" s="88"/>
      <c r="H93" s="2"/>
      <c r="I93" s="2"/>
      <c r="J93" s="2"/>
      <c r="K93" s="2"/>
      <c r="L93" s="88"/>
      <c r="M93" s="98"/>
      <c r="N93" s="4"/>
      <c r="O93" s="28"/>
      <c r="P93" s="29" t="s">
        <v>79</v>
      </c>
      <c r="Q93" s="30"/>
    </row>
    <row r="94" spans="1:17" ht="12.75">
      <c r="A94" s="5" t="s">
        <v>1</v>
      </c>
      <c r="B94" s="6" t="s">
        <v>2</v>
      </c>
      <c r="C94" s="6" t="s">
        <v>3</v>
      </c>
      <c r="D94" s="6" t="s">
        <v>4</v>
      </c>
      <c r="E94" s="6" t="s">
        <v>5</v>
      </c>
      <c r="F94" s="99" t="s">
        <v>6</v>
      </c>
      <c r="G94" s="99" t="s">
        <v>7</v>
      </c>
      <c r="H94" s="6" t="s">
        <v>8</v>
      </c>
      <c r="I94" s="6" t="s">
        <v>9</v>
      </c>
      <c r="J94" s="6" t="s">
        <v>10</v>
      </c>
      <c r="K94" s="6" t="s">
        <v>11</v>
      </c>
      <c r="L94" s="99" t="s">
        <v>12</v>
      </c>
      <c r="M94" s="100" t="s">
        <v>13</v>
      </c>
      <c r="N94" s="8" t="s">
        <v>14</v>
      </c>
      <c r="O94" s="31" t="s">
        <v>47</v>
      </c>
      <c r="P94" s="32"/>
      <c r="Q94" s="33" t="s">
        <v>47</v>
      </c>
    </row>
    <row r="95" spans="1:17" ht="12.75">
      <c r="A95" s="9"/>
      <c r="B95" s="10"/>
      <c r="C95" s="10"/>
      <c r="D95" s="10"/>
      <c r="E95" s="10"/>
      <c r="F95" s="91"/>
      <c r="G95" s="91"/>
      <c r="H95" s="10"/>
      <c r="I95" s="10"/>
      <c r="J95" s="10"/>
      <c r="K95" s="10"/>
      <c r="L95" s="91"/>
      <c r="M95" s="101"/>
      <c r="N95" s="12"/>
      <c r="O95" s="34"/>
      <c r="P95" s="32" t="s">
        <v>48</v>
      </c>
      <c r="Q95" s="35" t="s">
        <v>49</v>
      </c>
    </row>
    <row r="96" spans="1:17" ht="12.75">
      <c r="A96" s="5"/>
      <c r="B96" s="13"/>
      <c r="C96" s="13"/>
      <c r="D96" s="13"/>
      <c r="E96" s="13"/>
      <c r="F96" s="86"/>
      <c r="G96" s="86"/>
      <c r="H96" s="13"/>
      <c r="I96" s="13"/>
      <c r="J96" s="86"/>
      <c r="K96" s="86"/>
      <c r="L96" s="86"/>
      <c r="M96" s="87"/>
      <c r="N96" s="15"/>
      <c r="O96" s="31"/>
      <c r="P96" s="36"/>
      <c r="Q96" s="37"/>
    </row>
    <row r="97" spans="1:17" ht="12.75">
      <c r="A97" s="5" t="s">
        <v>15</v>
      </c>
      <c r="B97" s="16">
        <v>230.5</v>
      </c>
      <c r="C97" s="16">
        <v>230.5</v>
      </c>
      <c r="D97" s="16">
        <v>230.4</v>
      </c>
      <c r="E97" s="16">
        <v>230.4</v>
      </c>
      <c r="F97" s="83">
        <v>230.4</v>
      </c>
      <c r="G97" s="83">
        <v>230.4</v>
      </c>
      <c r="H97" s="83">
        <v>230.4</v>
      </c>
      <c r="I97" s="83">
        <v>230.4</v>
      </c>
      <c r="J97" s="83">
        <v>230.5</v>
      </c>
      <c r="K97" s="83">
        <v>230.5</v>
      </c>
      <c r="L97" s="83">
        <v>230.4</v>
      </c>
      <c r="M97" s="85">
        <v>230.4</v>
      </c>
      <c r="N97" s="18">
        <f>SUM(B97:M97)</f>
        <v>2765.2000000000003</v>
      </c>
      <c r="O97" s="41">
        <f>N97/622.8/12</f>
        <v>0.36999571826161426</v>
      </c>
      <c r="P97" s="38">
        <v>2850</v>
      </c>
      <c r="Q97" s="45">
        <f>P97/622.8/12</f>
        <v>0.38134232498394355</v>
      </c>
    </row>
    <row r="98" spans="1:17" ht="12.75">
      <c r="A98" s="19"/>
      <c r="B98" s="16"/>
      <c r="C98" s="16"/>
      <c r="D98" s="16"/>
      <c r="E98" s="16"/>
      <c r="F98" s="83"/>
      <c r="G98" s="83"/>
      <c r="H98" s="83"/>
      <c r="I98" s="83"/>
      <c r="J98" s="83"/>
      <c r="K98" s="83"/>
      <c r="L98" s="83"/>
      <c r="M98" s="85"/>
      <c r="N98" s="18"/>
      <c r="O98" s="41"/>
      <c r="P98" s="38"/>
      <c r="Q98" s="45"/>
    </row>
    <row r="99" spans="1:17" ht="12.75">
      <c r="A99" s="5" t="s">
        <v>16</v>
      </c>
      <c r="B99" s="16">
        <v>52.07</v>
      </c>
      <c r="C99" s="16"/>
      <c r="D99" s="16">
        <v>54.43</v>
      </c>
      <c r="E99" s="16"/>
      <c r="F99" s="83">
        <v>43.91</v>
      </c>
      <c r="G99" s="83"/>
      <c r="H99" s="83">
        <v>41.94</v>
      </c>
      <c r="I99" s="83"/>
      <c r="J99" s="83">
        <v>44.39</v>
      </c>
      <c r="K99" s="83"/>
      <c r="L99" s="83">
        <v>44.41</v>
      </c>
      <c r="M99" s="85"/>
      <c r="N99" s="18">
        <f>SUM(B99:M99)</f>
        <v>281.15000000000003</v>
      </c>
      <c r="O99" s="41">
        <f>N99/622.8/12</f>
        <v>0.03761908584885464</v>
      </c>
      <c r="P99" s="38">
        <v>320</v>
      </c>
      <c r="Q99" s="45">
        <f>P99/622.8/12</f>
        <v>0.04281738385784629</v>
      </c>
    </row>
    <row r="100" spans="1:17" ht="12.75">
      <c r="A100" s="5"/>
      <c r="B100" s="16"/>
      <c r="C100" s="16"/>
      <c r="D100" s="16"/>
      <c r="E100" s="16"/>
      <c r="F100" s="83"/>
      <c r="G100" s="83"/>
      <c r="H100" s="83"/>
      <c r="I100" s="83"/>
      <c r="J100" s="83"/>
      <c r="K100" s="83"/>
      <c r="L100" s="83"/>
      <c r="M100" s="85"/>
      <c r="N100" s="18"/>
      <c r="O100" s="41"/>
      <c r="P100" s="38"/>
      <c r="Q100" s="45"/>
    </row>
    <row r="101" spans="1:17" ht="12.75">
      <c r="A101" s="5" t="s">
        <v>18</v>
      </c>
      <c r="B101" s="16">
        <v>156.52</v>
      </c>
      <c r="C101" s="16">
        <v>156.52</v>
      </c>
      <c r="D101" s="16">
        <v>139.2</v>
      </c>
      <c r="E101" s="16">
        <v>139.2</v>
      </c>
      <c r="F101" s="83">
        <v>43.5</v>
      </c>
      <c r="G101" s="83">
        <v>114.69</v>
      </c>
      <c r="H101" s="83">
        <v>234.9</v>
      </c>
      <c r="I101" s="83">
        <v>139.2</v>
      </c>
      <c r="J101" s="83">
        <v>139.2</v>
      </c>
      <c r="K101" s="83">
        <v>43.5</v>
      </c>
      <c r="L101" s="83"/>
      <c r="M101" s="85">
        <v>43.6</v>
      </c>
      <c r="N101" s="18">
        <f>SUM(B101:M101)</f>
        <v>1350.03</v>
      </c>
      <c r="O101" s="41">
        <f>N101/622.8/12</f>
        <v>0.1806398522800257</v>
      </c>
      <c r="P101" s="38">
        <v>1600</v>
      </c>
      <c r="Q101" s="45">
        <f>P101/622.8/12</f>
        <v>0.21408691928923143</v>
      </c>
    </row>
    <row r="102" spans="1:17" ht="12.75">
      <c r="A102" s="5"/>
      <c r="B102" s="16"/>
      <c r="C102" s="16"/>
      <c r="D102" s="16"/>
      <c r="E102" s="16"/>
      <c r="F102" s="83"/>
      <c r="G102" s="83"/>
      <c r="H102" s="83"/>
      <c r="I102" s="83"/>
      <c r="J102" s="83"/>
      <c r="K102" s="83"/>
      <c r="L102" s="83"/>
      <c r="M102" s="85"/>
      <c r="N102" s="18"/>
      <c r="O102" s="41"/>
      <c r="P102" s="38"/>
      <c r="Q102" s="45"/>
    </row>
    <row r="103" spans="1:17" ht="12.75">
      <c r="A103" s="5" t="s">
        <v>19</v>
      </c>
      <c r="B103" s="16"/>
      <c r="C103" s="16"/>
      <c r="D103" s="16"/>
      <c r="E103" s="16"/>
      <c r="F103" s="83"/>
      <c r="G103" s="83">
        <v>260</v>
      </c>
      <c r="H103" s="83"/>
      <c r="I103" s="83"/>
      <c r="J103" s="83"/>
      <c r="K103" s="83"/>
      <c r="L103" s="83"/>
      <c r="M103" s="85"/>
      <c r="N103" s="18">
        <f>SUM(B103:M103)</f>
        <v>260</v>
      </c>
      <c r="O103" s="41">
        <f>N103/622.8/12</f>
        <v>0.03478912438450011</v>
      </c>
      <c r="P103" s="38">
        <v>330</v>
      </c>
      <c r="Q103" s="45">
        <f>P103/622.8/12</f>
        <v>0.044155427103403984</v>
      </c>
    </row>
    <row r="104" spans="1:17" ht="12.75">
      <c r="A104" s="5"/>
      <c r="B104" s="16"/>
      <c r="C104" s="16"/>
      <c r="D104" s="16"/>
      <c r="E104" s="16"/>
      <c r="F104" s="83"/>
      <c r="G104" s="83"/>
      <c r="H104" s="83"/>
      <c r="I104" s="83"/>
      <c r="J104" s="83"/>
      <c r="K104" s="83"/>
      <c r="L104" s="83"/>
      <c r="M104" s="85"/>
      <c r="N104" s="18"/>
      <c r="O104" s="41"/>
      <c r="P104" s="38"/>
      <c r="Q104" s="45"/>
    </row>
    <row r="105" spans="1:17" ht="12.75">
      <c r="A105" s="5" t="s">
        <v>20</v>
      </c>
      <c r="B105" s="16"/>
      <c r="C105" s="16"/>
      <c r="D105" s="16"/>
      <c r="E105" s="16"/>
      <c r="F105" s="83"/>
      <c r="G105" s="83"/>
      <c r="H105" s="83"/>
      <c r="I105" s="83"/>
      <c r="J105" s="83"/>
      <c r="K105" s="83"/>
      <c r="L105" s="83"/>
      <c r="M105" s="85"/>
      <c r="N105" s="18">
        <f>SUM(B105:M105)</f>
        <v>0</v>
      </c>
      <c r="O105" s="41">
        <f>N105/622.8/12</f>
        <v>0</v>
      </c>
      <c r="P105" s="38"/>
      <c r="Q105" s="45">
        <f>P105/622.8/12</f>
        <v>0</v>
      </c>
    </row>
    <row r="106" spans="1:17" ht="12.75">
      <c r="A106" s="5"/>
      <c r="B106" s="16"/>
      <c r="C106" s="16"/>
      <c r="D106" s="16"/>
      <c r="E106" s="16"/>
      <c r="F106" s="83"/>
      <c r="G106" s="83"/>
      <c r="H106" s="83"/>
      <c r="I106" s="83"/>
      <c r="J106" s="83"/>
      <c r="K106" s="83"/>
      <c r="L106" s="83"/>
      <c r="M106" s="85"/>
      <c r="N106" s="18"/>
      <c r="O106" s="41"/>
      <c r="P106" s="38"/>
      <c r="Q106" s="45"/>
    </row>
    <row r="107" spans="1:17" ht="12.75">
      <c r="A107" s="5" t="s">
        <v>21</v>
      </c>
      <c r="B107" s="16">
        <v>31</v>
      </c>
      <c r="C107" s="16">
        <v>31</v>
      </c>
      <c r="D107" s="16">
        <v>31</v>
      </c>
      <c r="E107" s="16">
        <v>31</v>
      </c>
      <c r="F107" s="83">
        <v>31</v>
      </c>
      <c r="G107" s="83">
        <v>31</v>
      </c>
      <c r="H107" s="83">
        <v>31</v>
      </c>
      <c r="I107" s="83">
        <v>31</v>
      </c>
      <c r="J107" s="83">
        <v>31</v>
      </c>
      <c r="K107" s="83">
        <v>31</v>
      </c>
      <c r="L107" s="83">
        <v>31</v>
      </c>
      <c r="M107" s="85">
        <v>34</v>
      </c>
      <c r="N107" s="18">
        <f>SUM(B107:M107)</f>
        <v>375</v>
      </c>
      <c r="O107" s="41">
        <f>N107/622.8/12</f>
        <v>0.05017662170841362</v>
      </c>
      <c r="P107" s="38">
        <v>380</v>
      </c>
      <c r="Q107" s="45">
        <f>P107/395.2/12</f>
        <v>0.08012820512820513</v>
      </c>
    </row>
    <row r="108" spans="1:17" ht="12.75">
      <c r="A108" s="5"/>
      <c r="B108" s="16"/>
      <c r="C108" s="16"/>
      <c r="D108" s="16"/>
      <c r="E108" s="16"/>
      <c r="F108" s="83"/>
      <c r="G108" s="83"/>
      <c r="H108" s="83"/>
      <c r="I108" s="83"/>
      <c r="J108" s="83"/>
      <c r="K108" s="83"/>
      <c r="L108" s="83"/>
      <c r="M108" s="85"/>
      <c r="N108" s="18"/>
      <c r="O108" s="41"/>
      <c r="P108" s="38"/>
      <c r="Q108" s="45"/>
    </row>
    <row r="109" spans="1:17" ht="12.75">
      <c r="A109" s="5" t="s">
        <v>23</v>
      </c>
      <c r="B109" s="16"/>
      <c r="C109" s="16">
        <v>379</v>
      </c>
      <c r="D109" s="16"/>
      <c r="E109" s="16"/>
      <c r="F109" s="83"/>
      <c r="G109" s="83"/>
      <c r="H109" s="83"/>
      <c r="I109" s="83">
        <v>379</v>
      </c>
      <c r="J109" s="83"/>
      <c r="K109" s="83"/>
      <c r="L109" s="83"/>
      <c r="M109" s="85"/>
      <c r="N109" s="18">
        <f>SUM(B109:M109)</f>
        <v>758</v>
      </c>
      <c r="O109" s="41">
        <f>N109/622.8/12</f>
        <v>0.1014236780132734</v>
      </c>
      <c r="P109" s="38">
        <v>770</v>
      </c>
      <c r="Q109" s="45">
        <f>P109/622.8/12</f>
        <v>0.10302932990794263</v>
      </c>
    </row>
    <row r="110" spans="1:17" ht="12.75">
      <c r="A110" s="5"/>
      <c r="B110" s="16"/>
      <c r="C110" s="16"/>
      <c r="D110" s="16"/>
      <c r="E110" s="16"/>
      <c r="F110" s="83"/>
      <c r="G110" s="83"/>
      <c r="H110" s="83"/>
      <c r="I110" s="83"/>
      <c r="J110" s="83"/>
      <c r="K110" s="83"/>
      <c r="L110" s="83"/>
      <c r="M110" s="85"/>
      <c r="N110" s="18"/>
      <c r="O110" s="41"/>
      <c r="P110" s="38"/>
      <c r="Q110" s="45"/>
    </row>
    <row r="111" spans="1:17" ht="12.75">
      <c r="A111" s="5" t="s">
        <v>51</v>
      </c>
      <c r="B111" s="16"/>
      <c r="C111" s="16"/>
      <c r="D111" s="16"/>
      <c r="E111" s="16"/>
      <c r="F111" s="83"/>
      <c r="G111" s="83"/>
      <c r="H111" s="83"/>
      <c r="I111" s="83"/>
      <c r="J111" s="83"/>
      <c r="K111" s="83"/>
      <c r="L111" s="83"/>
      <c r="M111" s="85"/>
      <c r="N111" s="18">
        <f>SUM(B111:M111)</f>
        <v>0</v>
      </c>
      <c r="O111" s="41">
        <f>N111/622.8/12</f>
        <v>0</v>
      </c>
      <c r="P111" s="38"/>
      <c r="Q111" s="45">
        <f>P111/622.8/12</f>
        <v>0</v>
      </c>
    </row>
    <row r="112" spans="1:17" ht="12.75">
      <c r="A112" s="5"/>
      <c r="B112" s="16"/>
      <c r="C112" s="16"/>
      <c r="D112" s="16"/>
      <c r="E112" s="16"/>
      <c r="F112" s="83"/>
      <c r="G112" s="83"/>
      <c r="H112" s="83"/>
      <c r="I112" s="83"/>
      <c r="J112" s="83"/>
      <c r="K112" s="83"/>
      <c r="L112" s="83"/>
      <c r="M112" s="85"/>
      <c r="N112" s="18"/>
      <c r="O112" s="41"/>
      <c r="P112" s="38"/>
      <c r="Q112" s="45"/>
    </row>
    <row r="113" spans="1:17" ht="12.75">
      <c r="A113" s="5" t="s">
        <v>25</v>
      </c>
      <c r="B113" s="16">
        <v>324.01</v>
      </c>
      <c r="C113" s="16">
        <v>359.77</v>
      </c>
      <c r="D113" s="16">
        <v>383.86</v>
      </c>
      <c r="E113" s="16">
        <v>322.76</v>
      </c>
      <c r="F113" s="83">
        <v>298.72</v>
      </c>
      <c r="G113" s="83">
        <v>335.63</v>
      </c>
      <c r="H113" s="83">
        <v>347.28</v>
      </c>
      <c r="I113" s="83">
        <v>378.54</v>
      </c>
      <c r="J113" s="83">
        <v>401.26</v>
      </c>
      <c r="K113" s="83">
        <v>318.56</v>
      </c>
      <c r="L113" s="83">
        <v>347.88</v>
      </c>
      <c r="M113" s="85">
        <v>568.37</v>
      </c>
      <c r="N113" s="18">
        <f>SUM(B113:M113)</f>
        <v>4386.639999999999</v>
      </c>
      <c r="O113" s="41">
        <f>N113/622.8/12</f>
        <v>0.5869514022693213</v>
      </c>
      <c r="P113" s="38">
        <v>4400</v>
      </c>
      <c r="Q113" s="45">
        <f>P113/622.8/12</f>
        <v>0.5887390280453865</v>
      </c>
    </row>
    <row r="114" spans="1:17" ht="12.75">
      <c r="A114" s="5"/>
      <c r="B114" s="16"/>
      <c r="C114" s="16"/>
      <c r="D114" s="16"/>
      <c r="E114" s="16"/>
      <c r="F114" s="83"/>
      <c r="G114" s="83"/>
      <c r="H114" s="83"/>
      <c r="I114" s="83"/>
      <c r="J114" s="83"/>
      <c r="K114" s="83"/>
      <c r="L114" s="83"/>
      <c r="M114" s="85"/>
      <c r="N114" s="18"/>
      <c r="O114" s="41"/>
      <c r="P114" s="38"/>
      <c r="Q114" s="45"/>
    </row>
    <row r="115" spans="1:17" ht="12.75">
      <c r="A115" s="5" t="s">
        <v>59</v>
      </c>
      <c r="B115" s="16">
        <v>207.21</v>
      </c>
      <c r="C115" s="16">
        <v>121.58</v>
      </c>
      <c r="D115" s="16">
        <v>52.08</v>
      </c>
      <c r="E115" s="16">
        <v>91.84</v>
      </c>
      <c r="F115" s="83">
        <v>135.49</v>
      </c>
      <c r="G115" s="83">
        <v>71.55</v>
      </c>
      <c r="H115" s="83">
        <v>87.31</v>
      </c>
      <c r="I115" s="83">
        <v>37.89</v>
      </c>
      <c r="J115" s="83">
        <v>35.11</v>
      </c>
      <c r="K115" s="83">
        <v>71.57</v>
      </c>
      <c r="L115" s="83">
        <v>41.02</v>
      </c>
      <c r="M115" s="85">
        <v>158.97</v>
      </c>
      <c r="N115" s="18">
        <f>SUM(B115:M115)</f>
        <v>1111.6200000000001</v>
      </c>
      <c r="O115" s="41">
        <f>N115/622.8/12</f>
        <v>0.14873956326268467</v>
      </c>
      <c r="P115" s="38">
        <v>1080</v>
      </c>
      <c r="Q115" s="45">
        <f>P115/622.8/12</f>
        <v>0.14450867052023122</v>
      </c>
    </row>
    <row r="116" spans="1:17" ht="12.75">
      <c r="A116" s="5"/>
      <c r="B116" s="16"/>
      <c r="C116" s="16"/>
      <c r="D116" s="16"/>
      <c r="E116" s="16"/>
      <c r="F116" s="83"/>
      <c r="G116" s="83"/>
      <c r="H116" s="83"/>
      <c r="I116" s="83"/>
      <c r="J116" s="83"/>
      <c r="K116" s="83"/>
      <c r="L116" s="83"/>
      <c r="M116" s="85"/>
      <c r="N116" s="18"/>
      <c r="O116" s="41"/>
      <c r="P116" s="38"/>
      <c r="Q116" s="45"/>
    </row>
    <row r="117" spans="1:17" ht="12.75">
      <c r="A117" s="5" t="s">
        <v>53</v>
      </c>
      <c r="B117" s="16">
        <v>900.05</v>
      </c>
      <c r="C117" s="16"/>
      <c r="D117" s="16"/>
      <c r="E117" s="16"/>
      <c r="F117" s="83"/>
      <c r="G117" s="83"/>
      <c r="H117" s="83"/>
      <c r="I117" s="83"/>
      <c r="J117" s="83"/>
      <c r="K117" s="83"/>
      <c r="L117" s="83"/>
      <c r="M117" s="85"/>
      <c r="N117" s="18">
        <f>SUM(B117:M117)</f>
        <v>900.05</v>
      </c>
      <c r="O117" s="41">
        <f>N117/622.8/12</f>
        <v>0.12043058231642047</v>
      </c>
      <c r="P117" s="38">
        <v>0</v>
      </c>
      <c r="Q117" s="45">
        <f>P117/622.8/12</f>
        <v>0</v>
      </c>
    </row>
    <row r="118" spans="1:17" ht="12.75">
      <c r="A118" s="5"/>
      <c r="B118" s="13"/>
      <c r="C118" s="13"/>
      <c r="D118" s="13"/>
      <c r="E118" s="13"/>
      <c r="F118" s="86"/>
      <c r="G118" s="86"/>
      <c r="H118" s="13"/>
      <c r="I118" s="13"/>
      <c r="J118" s="86"/>
      <c r="K118" s="86"/>
      <c r="L118" s="86"/>
      <c r="M118" s="87"/>
      <c r="N118" s="15"/>
      <c r="O118" s="41"/>
      <c r="P118" s="61"/>
      <c r="Q118" s="62"/>
    </row>
    <row r="119" spans="1:17" ht="12.75">
      <c r="A119" s="20"/>
      <c r="B119" s="2"/>
      <c r="C119" s="2"/>
      <c r="D119" s="2"/>
      <c r="E119" s="2"/>
      <c r="F119" s="88"/>
      <c r="G119" s="88"/>
      <c r="H119" s="2"/>
      <c r="I119" s="2"/>
      <c r="J119" s="2"/>
      <c r="K119" s="88"/>
      <c r="L119" s="88"/>
      <c r="M119" s="89"/>
      <c r="N119" s="4"/>
      <c r="O119" s="63"/>
      <c r="P119" s="38"/>
      <c r="Q119" s="45"/>
    </row>
    <row r="120" spans="1:17" ht="12.75">
      <c r="A120" s="22"/>
      <c r="B120" s="16">
        <f>SUM(B97:B117)</f>
        <v>1901.3600000000001</v>
      </c>
      <c r="C120" s="16">
        <f>SUM(C97:C117)</f>
        <v>1278.37</v>
      </c>
      <c r="D120" s="16">
        <f>SUM(D97:D117)</f>
        <v>890.97</v>
      </c>
      <c r="E120" s="16">
        <f>SUM(E97:E117)</f>
        <v>815.1999999999999</v>
      </c>
      <c r="F120" s="83">
        <f>SUM(F97:F117)</f>
        <v>783.02</v>
      </c>
      <c r="G120" s="83">
        <f>SUM(G97:G117)</f>
        <v>1043.27</v>
      </c>
      <c r="H120" s="16">
        <f>SUM(H97:H117)</f>
        <v>972.83</v>
      </c>
      <c r="I120" s="16">
        <f>SUM(I97:I117)</f>
        <v>1196.03</v>
      </c>
      <c r="J120" s="16">
        <f>SUM(J97:J117)</f>
        <v>881.4599999999999</v>
      </c>
      <c r="K120" s="16">
        <f>SUM(K97:K117)</f>
        <v>695.13</v>
      </c>
      <c r="L120" s="83">
        <f>SUM(L97:L117)</f>
        <v>694.7099999999999</v>
      </c>
      <c r="M120" s="83">
        <f>SUM(M97:M117)</f>
        <v>1035.3400000000001</v>
      </c>
      <c r="N120" s="18">
        <f>SUM(N97:N115)</f>
        <v>11287.640000000001</v>
      </c>
      <c r="O120" s="18">
        <f>SUM(O92:O117)</f>
        <v>1.6307656283451082</v>
      </c>
      <c r="P120" s="38">
        <f>SUM(P92:P117)</f>
        <v>11730</v>
      </c>
      <c r="Q120" s="45">
        <f>SUM(Q92:Q117)</f>
        <v>1.5988072888361908</v>
      </c>
    </row>
    <row r="121" spans="1:17" ht="12.75">
      <c r="A121" s="24"/>
      <c r="B121" s="10"/>
      <c r="C121" s="10"/>
      <c r="D121" s="10"/>
      <c r="E121" s="10"/>
      <c r="F121" s="91"/>
      <c r="G121" s="91"/>
      <c r="H121" s="10"/>
      <c r="I121" s="10"/>
      <c r="J121" s="10"/>
      <c r="K121" s="10"/>
      <c r="L121" s="91"/>
      <c r="M121" s="92"/>
      <c r="N121" s="12"/>
      <c r="O121" s="65"/>
      <c r="P121" s="61"/>
      <c r="Q121" s="62"/>
    </row>
    <row r="122" spans="1:17" ht="12.75">
      <c r="A122" s="47" t="s">
        <v>53</v>
      </c>
      <c r="B122" s="2">
        <v>444.71</v>
      </c>
      <c r="C122" s="2"/>
      <c r="D122" s="2"/>
      <c r="E122" s="2"/>
      <c r="F122" s="88"/>
      <c r="G122" s="88"/>
      <c r="H122" s="2"/>
      <c r="I122" s="2"/>
      <c r="J122" s="2"/>
      <c r="K122" s="2"/>
      <c r="L122" s="88"/>
      <c r="M122" s="88"/>
      <c r="N122" s="48"/>
      <c r="O122" s="68"/>
      <c r="P122" s="50"/>
      <c r="Q122" s="51"/>
    </row>
    <row r="123" spans="1:17" ht="12.75">
      <c r="A123" s="93" t="s">
        <v>69</v>
      </c>
      <c r="B123" s="16">
        <f>(B120-B107-B111-B117)/622.8*207.6</f>
        <v>323.4366666666667</v>
      </c>
      <c r="C123" s="16">
        <f>(C120-C107-C111-C117)/622.8*207.6</f>
        <v>415.78999999999996</v>
      </c>
      <c r="D123" s="16">
        <f>(D120-D107-D111-D117)/622.8*207.6</f>
        <v>286.6566666666667</v>
      </c>
      <c r="E123" s="16">
        <f>(E120-E107-E111-E117)/622.8*207.6</f>
        <v>261.4</v>
      </c>
      <c r="F123" s="16">
        <f>(F120-F107-F111-F117)/622.8*207.6</f>
        <v>250.67333333333332</v>
      </c>
      <c r="G123" s="16">
        <f>(G120-G107-G111-G117)/622.8*207.6</f>
        <v>337.42333333333335</v>
      </c>
      <c r="H123" s="16">
        <f>(H120-H107-H111-H117)/622.8*207.6</f>
        <v>313.9433333333334</v>
      </c>
      <c r="I123" s="16">
        <f>(I120-I107-I111-I117)/622.8*207.6</f>
        <v>388.3433333333333</v>
      </c>
      <c r="J123" s="16">
        <f>(J120-J107-J111-J117)/622.8*207.6</f>
        <v>283.4866666666666</v>
      </c>
      <c r="K123" s="16">
        <f>(K120-K107-K111-K117)/622.8*207.6</f>
        <v>221.3766666666667</v>
      </c>
      <c r="L123" s="16">
        <f>(L120-L107-L111-L117)/622.8*207.6</f>
        <v>221.23666666666665</v>
      </c>
      <c r="M123" s="83">
        <f>(M120-M107-M111-M117)/622.8*207.6</f>
        <v>333.7800000000001</v>
      </c>
      <c r="N123" s="18">
        <f>SUM(B123:M123)</f>
        <v>3637.546666666667</v>
      </c>
      <c r="O123" s="18">
        <f>O120-O107-O111-O117</f>
        <v>1.460158424320274</v>
      </c>
      <c r="P123" s="53">
        <f>P120-P107-P111</f>
        <v>11350</v>
      </c>
      <c r="Q123" s="52">
        <f>Q120-Q107-Q111</f>
        <v>1.5186790837079858</v>
      </c>
    </row>
    <row r="124" spans="1:17" ht="12.75">
      <c r="A124" s="9"/>
      <c r="B124" s="10"/>
      <c r="C124" s="10"/>
      <c r="D124" s="10"/>
      <c r="E124" s="10"/>
      <c r="F124" s="91"/>
      <c r="G124" s="91"/>
      <c r="H124" s="10"/>
      <c r="I124" s="10"/>
      <c r="J124" s="10"/>
      <c r="K124" s="10"/>
      <c r="L124" s="91"/>
      <c r="M124" s="91"/>
      <c r="N124" s="12"/>
      <c r="O124" s="25"/>
      <c r="P124" s="55"/>
      <c r="Q124" s="56"/>
    </row>
    <row r="125" spans="6:13" ht="12.75">
      <c r="F125" s="94"/>
      <c r="G125" s="94"/>
      <c r="L125" s="94"/>
      <c r="M125" s="94"/>
    </row>
    <row r="126" spans="1:13" ht="12.75">
      <c r="A126" t="s">
        <v>55</v>
      </c>
      <c r="B126">
        <v>207.6</v>
      </c>
      <c r="C126">
        <v>207.6</v>
      </c>
      <c r="D126">
        <v>207.6</v>
      </c>
      <c r="E126">
        <v>207.6</v>
      </c>
      <c r="F126">
        <v>207.6</v>
      </c>
      <c r="G126">
        <v>207.6</v>
      </c>
      <c r="H126">
        <v>207.6</v>
      </c>
      <c r="I126">
        <v>207.6</v>
      </c>
      <c r="J126">
        <v>207.6</v>
      </c>
      <c r="K126">
        <v>207.6</v>
      </c>
      <c r="L126">
        <v>207.6</v>
      </c>
      <c r="M126">
        <v>207.6</v>
      </c>
    </row>
    <row r="127" spans="6:13" ht="12.75">
      <c r="F127" s="94"/>
      <c r="G127" s="94"/>
      <c r="J127" s="60"/>
      <c r="K127" s="60"/>
      <c r="L127" s="103"/>
      <c r="M127" s="103"/>
    </row>
    <row r="128" spans="6:13" ht="12.75">
      <c r="F128" s="94"/>
      <c r="G128" s="94"/>
      <c r="J128" s="60"/>
      <c r="K128" s="60"/>
      <c r="L128" s="103"/>
      <c r="M128" s="103"/>
    </row>
    <row r="129" spans="6:13" ht="12.75">
      <c r="F129" s="94"/>
      <c r="G129" s="94"/>
      <c r="J129" s="60"/>
      <c r="K129" s="60"/>
      <c r="L129" s="103"/>
      <c r="M129" s="103"/>
    </row>
    <row r="130" spans="6:13" ht="12.75">
      <c r="F130" s="94"/>
      <c r="G130" s="94"/>
      <c r="L130" s="94"/>
      <c r="M130" s="94"/>
    </row>
    <row r="131" spans="6:13" ht="12.75">
      <c r="F131" s="94"/>
      <c r="G131" s="94"/>
      <c r="L131" s="94"/>
      <c r="M131" s="94"/>
    </row>
    <row r="132" spans="6:13" ht="12.75">
      <c r="F132" s="94"/>
      <c r="G132" s="94"/>
      <c r="L132" s="94"/>
      <c r="M132" s="94"/>
    </row>
    <row r="133" spans="6:13" ht="12.75">
      <c r="F133" s="94"/>
      <c r="G133" s="94"/>
      <c r="L133" s="94"/>
      <c r="M133" s="94"/>
    </row>
    <row r="134" spans="6:13" ht="12.75">
      <c r="F134" s="94"/>
      <c r="G134" s="94"/>
      <c r="L134" s="94"/>
      <c r="M134" s="94"/>
    </row>
    <row r="135" spans="6:13" ht="12.75">
      <c r="F135" s="94"/>
      <c r="G135" s="94"/>
      <c r="L135" s="94"/>
      <c r="M135" s="94"/>
    </row>
    <row r="136" spans="1:13" ht="12.75">
      <c r="A136" s="71">
        <v>2010</v>
      </c>
      <c r="B136" t="s">
        <v>31</v>
      </c>
      <c r="F136" s="94"/>
      <c r="G136" s="94"/>
      <c r="L136" s="94"/>
      <c r="M136" s="96" t="s">
        <v>70</v>
      </c>
    </row>
    <row r="137" spans="6:13" ht="12.75">
      <c r="F137" s="94"/>
      <c r="G137" s="94"/>
      <c r="L137" s="94"/>
      <c r="M137" s="97" t="s">
        <v>84</v>
      </c>
    </row>
    <row r="138" spans="1:17" ht="12.75">
      <c r="A138" s="2"/>
      <c r="B138" s="2"/>
      <c r="C138" s="2"/>
      <c r="D138" s="2"/>
      <c r="E138" s="2"/>
      <c r="F138" s="88"/>
      <c r="G138" s="88"/>
      <c r="H138" s="2"/>
      <c r="I138" s="2"/>
      <c r="J138" s="2"/>
      <c r="K138" s="2"/>
      <c r="L138" s="88"/>
      <c r="M138" s="88"/>
      <c r="N138" s="4"/>
      <c r="O138" s="69"/>
      <c r="P138" s="70"/>
      <c r="Q138" s="70"/>
    </row>
    <row r="139" spans="1:17" ht="12.75">
      <c r="A139" s="5" t="s">
        <v>1</v>
      </c>
      <c r="B139" s="6" t="s">
        <v>2</v>
      </c>
      <c r="C139" s="6" t="s">
        <v>3</v>
      </c>
      <c r="D139" s="6" t="s">
        <v>4</v>
      </c>
      <c r="E139" s="6" t="s">
        <v>5</v>
      </c>
      <c r="F139" s="99" t="s">
        <v>6</v>
      </c>
      <c r="G139" s="99" t="s">
        <v>7</v>
      </c>
      <c r="H139" s="6" t="s">
        <v>8</v>
      </c>
      <c r="I139" s="6" t="s">
        <v>9</v>
      </c>
      <c r="J139" s="6" t="s">
        <v>10</v>
      </c>
      <c r="K139" s="6" t="s">
        <v>11</v>
      </c>
      <c r="L139" s="99" t="s">
        <v>12</v>
      </c>
      <c r="M139" s="100" t="s">
        <v>13</v>
      </c>
      <c r="N139" s="8" t="s">
        <v>14</v>
      </c>
      <c r="O139" s="71" t="s">
        <v>71</v>
      </c>
      <c r="P139" s="72" t="s">
        <v>72</v>
      </c>
      <c r="Q139" s="73"/>
    </row>
    <row r="140" spans="1:17" ht="12.75">
      <c r="A140" s="9"/>
      <c r="B140" s="10"/>
      <c r="C140" s="10"/>
      <c r="D140" s="10"/>
      <c r="E140" s="10"/>
      <c r="F140" s="91"/>
      <c r="G140" s="91"/>
      <c r="H140" s="10"/>
      <c r="I140" s="10"/>
      <c r="J140" s="10"/>
      <c r="K140" s="10"/>
      <c r="L140" s="91"/>
      <c r="M140" s="101"/>
      <c r="N140" s="12"/>
      <c r="P140" s="104" t="s">
        <v>73</v>
      </c>
      <c r="Q140" s="105"/>
    </row>
    <row r="141" spans="1:17" ht="12.75">
      <c r="A141" s="5"/>
      <c r="B141" s="13"/>
      <c r="C141" s="13"/>
      <c r="D141" s="13"/>
      <c r="E141" s="13"/>
      <c r="F141" s="86"/>
      <c r="G141" s="86"/>
      <c r="H141" s="13"/>
      <c r="I141" s="13"/>
      <c r="J141" s="13"/>
      <c r="K141" s="13"/>
      <c r="L141" s="86"/>
      <c r="M141" s="87"/>
      <c r="N141" s="15"/>
      <c r="O141" s="74"/>
      <c r="P141" s="75"/>
      <c r="Q141" s="73"/>
    </row>
    <row r="142" spans="1:17" ht="12.75">
      <c r="A142" s="5" t="s">
        <v>32</v>
      </c>
      <c r="B142" s="16"/>
      <c r="C142" s="16">
        <v>240</v>
      </c>
      <c r="D142" s="16"/>
      <c r="E142" s="16">
        <v>152.5</v>
      </c>
      <c r="F142" s="83"/>
      <c r="G142" s="83"/>
      <c r="H142" s="83">
        <v>427</v>
      </c>
      <c r="I142" s="83"/>
      <c r="J142" s="83"/>
      <c r="K142" s="83"/>
      <c r="L142" s="83"/>
      <c r="M142" s="85">
        <v>188.6</v>
      </c>
      <c r="N142" s="18">
        <f>SUM(B142:M142)</f>
        <v>1008.1</v>
      </c>
      <c r="O142" s="76">
        <f>N142/$N$172</f>
        <v>0.009090477893483514</v>
      </c>
      <c r="P142" s="77">
        <f>N142/10655.6/12</f>
        <v>0.00788396085939162</v>
      </c>
      <c r="Q142" s="73">
        <f>N142*0.3231</f>
        <v>325.71711</v>
      </c>
    </row>
    <row r="143" spans="1:17" ht="12.75">
      <c r="A143" s="19" t="s">
        <v>85</v>
      </c>
      <c r="B143" s="16"/>
      <c r="C143" s="16"/>
      <c r="D143" s="16"/>
      <c r="E143" s="16"/>
      <c r="F143" s="83"/>
      <c r="G143" s="83"/>
      <c r="H143" s="83"/>
      <c r="I143" s="83"/>
      <c r="J143" s="83"/>
      <c r="K143" s="83"/>
      <c r="L143" s="83"/>
      <c r="M143" s="85"/>
      <c r="N143" s="18"/>
      <c r="O143" s="78"/>
      <c r="P143" s="77"/>
      <c r="Q143" s="73"/>
    </row>
    <row r="144" spans="1:17" ht="12.75">
      <c r="A144" s="5"/>
      <c r="B144" s="16"/>
      <c r="C144" s="16"/>
      <c r="D144" s="16"/>
      <c r="E144" s="16"/>
      <c r="F144" s="83"/>
      <c r="G144" s="83"/>
      <c r="H144" s="83"/>
      <c r="I144" s="83"/>
      <c r="J144" s="83"/>
      <c r="K144" s="83"/>
      <c r="L144" s="83"/>
      <c r="M144" s="85"/>
      <c r="N144" s="18"/>
      <c r="O144" s="78"/>
      <c r="P144" s="77"/>
      <c r="Q144" s="73"/>
    </row>
    <row r="145" spans="1:17" ht="12.75">
      <c r="A145" s="5" t="s">
        <v>34</v>
      </c>
      <c r="B145" s="16">
        <v>976</v>
      </c>
      <c r="C145" s="16">
        <v>976</v>
      </c>
      <c r="D145" s="16">
        <v>976</v>
      </c>
      <c r="E145" s="16">
        <v>976</v>
      </c>
      <c r="F145" s="83">
        <v>976</v>
      </c>
      <c r="G145" s="83">
        <v>976</v>
      </c>
      <c r="H145" s="83">
        <v>976</v>
      </c>
      <c r="I145" s="83">
        <v>976</v>
      </c>
      <c r="J145" s="83">
        <v>976</v>
      </c>
      <c r="K145" s="83">
        <v>976</v>
      </c>
      <c r="L145" s="83">
        <v>976</v>
      </c>
      <c r="M145" s="85">
        <v>976</v>
      </c>
      <c r="N145" s="18">
        <f>SUM(B145:M145)</f>
        <v>11712</v>
      </c>
      <c r="O145" s="76">
        <f>N145/$N$172</f>
        <v>0.1056122181216932</v>
      </c>
      <c r="P145" s="77">
        <f>N145/10655.6/12</f>
        <v>0.09159502984346259</v>
      </c>
      <c r="Q145" s="73">
        <f>N145*0.3231</f>
        <v>3784.1472</v>
      </c>
    </row>
    <row r="146" spans="1:17" ht="12.75">
      <c r="A146" s="5"/>
      <c r="B146" s="16"/>
      <c r="C146" s="16"/>
      <c r="D146" s="16"/>
      <c r="E146" s="16"/>
      <c r="F146" s="83"/>
      <c r="G146" s="83"/>
      <c r="H146" s="83"/>
      <c r="I146" s="83"/>
      <c r="J146" s="83"/>
      <c r="K146" s="83"/>
      <c r="L146" s="83"/>
      <c r="M146" s="85"/>
      <c r="N146" s="18"/>
      <c r="O146" s="78"/>
      <c r="P146" s="77"/>
      <c r="Q146" s="73"/>
    </row>
    <row r="147" spans="1:17" ht="12.75">
      <c r="A147" s="5" t="s">
        <v>36</v>
      </c>
      <c r="B147" s="16"/>
      <c r="C147" s="16"/>
      <c r="D147" s="16"/>
      <c r="E147" s="16"/>
      <c r="F147" s="83"/>
      <c r="G147" s="83"/>
      <c r="H147" s="83"/>
      <c r="I147" s="83"/>
      <c r="J147" s="83">
        <v>2240</v>
      </c>
      <c r="K147" s="83"/>
      <c r="L147" s="83"/>
      <c r="M147" s="85"/>
      <c r="N147" s="18">
        <f>SUM(B147:M147)</f>
        <v>2240</v>
      </c>
      <c r="O147" s="78"/>
      <c r="P147" s="77">
        <f>N147/10655.6/12</f>
        <v>0.01751817510667317</v>
      </c>
      <c r="Q147" s="73">
        <f>N147*0.3231</f>
        <v>723.744</v>
      </c>
    </row>
    <row r="148" spans="1:17" ht="12.75">
      <c r="A148" s="5"/>
      <c r="B148" s="16"/>
      <c r="C148" s="16"/>
      <c r="D148" s="16"/>
      <c r="E148" s="16"/>
      <c r="F148" s="83"/>
      <c r="G148" s="83"/>
      <c r="H148" s="83"/>
      <c r="I148" s="83"/>
      <c r="J148" s="83"/>
      <c r="K148" s="83"/>
      <c r="L148" s="83"/>
      <c r="M148" s="85"/>
      <c r="N148" s="18"/>
      <c r="O148" s="78"/>
      <c r="P148" s="77"/>
      <c r="Q148" s="73"/>
    </row>
    <row r="149" spans="1:17" ht="12.75">
      <c r="A149" s="5" t="s">
        <v>16</v>
      </c>
      <c r="B149" s="16">
        <v>159.6</v>
      </c>
      <c r="C149" s="16"/>
      <c r="D149" s="16">
        <v>140.98</v>
      </c>
      <c r="E149" s="16"/>
      <c r="F149" s="83">
        <v>118.14</v>
      </c>
      <c r="G149" s="83"/>
      <c r="H149" s="83">
        <v>185.78</v>
      </c>
      <c r="I149" s="83"/>
      <c r="J149" s="83">
        <v>147.27</v>
      </c>
      <c r="K149" s="83"/>
      <c r="L149" s="83">
        <v>182.82</v>
      </c>
      <c r="M149" s="85"/>
      <c r="N149" s="18">
        <f>SUM(B149:M149)</f>
        <v>934.59</v>
      </c>
      <c r="O149" s="76">
        <f>N149/$N$172</f>
        <v>0.008427606124859396</v>
      </c>
      <c r="P149" s="77">
        <f>N149/10655.6/12</f>
        <v>0.007309067532565036</v>
      </c>
      <c r="Q149" s="73">
        <f>N149*0.3231</f>
        <v>301.966029</v>
      </c>
    </row>
    <row r="150" spans="1:17" ht="12.75">
      <c r="A150" s="5"/>
      <c r="B150" s="16"/>
      <c r="C150" s="16"/>
      <c r="D150" s="16"/>
      <c r="E150" s="16"/>
      <c r="F150" s="83"/>
      <c r="G150" s="83"/>
      <c r="H150" s="83"/>
      <c r="I150" s="83"/>
      <c r="J150" s="83"/>
      <c r="K150" s="83"/>
      <c r="L150" s="83"/>
      <c r="M150" s="85"/>
      <c r="N150" s="18"/>
      <c r="O150" s="78"/>
      <c r="P150" s="77"/>
      <c r="Q150" s="73"/>
    </row>
    <row r="151" spans="1:17" ht="12.75">
      <c r="A151" s="5" t="s">
        <v>86</v>
      </c>
      <c r="B151" s="16"/>
      <c r="C151" s="16"/>
      <c r="D151" s="16"/>
      <c r="E151" s="16"/>
      <c r="F151" s="83"/>
      <c r="G151" s="83"/>
      <c r="H151" s="83"/>
      <c r="I151" s="83">
        <v>812.18</v>
      </c>
      <c r="J151" s="83"/>
      <c r="K151" s="83"/>
      <c r="L151" s="83"/>
      <c r="M151" s="85"/>
      <c r="N151" s="18">
        <f>SUM(B151:M151)</f>
        <v>812.18</v>
      </c>
      <c r="O151" s="76">
        <f>N151/$N$172</f>
        <v>0.007323781703729233</v>
      </c>
      <c r="P151" s="77">
        <f>N151/10655.6/12</f>
        <v>0.0063517461866686685</v>
      </c>
      <c r="Q151" s="73">
        <f>N151*0.3231</f>
        <v>262.41535799999997</v>
      </c>
    </row>
    <row r="152" spans="1:17" ht="12.75">
      <c r="A152" s="5"/>
      <c r="B152" s="16"/>
      <c r="C152" s="16"/>
      <c r="D152" s="16"/>
      <c r="E152" s="16"/>
      <c r="F152" s="83"/>
      <c r="G152" s="83"/>
      <c r="H152" s="83"/>
      <c r="I152" s="83"/>
      <c r="J152" s="83"/>
      <c r="K152" s="83"/>
      <c r="L152" s="83"/>
      <c r="M152" s="85"/>
      <c r="N152" s="18"/>
      <c r="O152" s="78"/>
      <c r="P152" s="77"/>
      <c r="Q152" s="73"/>
    </row>
    <row r="153" spans="1:17" ht="12.75">
      <c r="A153" s="5" t="s">
        <v>37</v>
      </c>
      <c r="B153" s="16">
        <v>285.75</v>
      </c>
      <c r="C153" s="16">
        <v>757.56</v>
      </c>
      <c r="D153" s="16">
        <v>745.31</v>
      </c>
      <c r="E153" s="16">
        <v>446.56</v>
      </c>
      <c r="F153" s="83">
        <v>464.15</v>
      </c>
      <c r="G153" s="83">
        <v>330.71</v>
      </c>
      <c r="H153" s="83">
        <v>165.46</v>
      </c>
      <c r="I153" s="83">
        <v>179.09</v>
      </c>
      <c r="J153" s="83">
        <v>68.87</v>
      </c>
      <c r="K153" s="83">
        <v>455.91</v>
      </c>
      <c r="L153" s="83">
        <v>1406.93</v>
      </c>
      <c r="M153" s="85">
        <f>139+68.39+334</f>
        <v>541.39</v>
      </c>
      <c r="N153" s="18">
        <f>SUM(B153:M153)</f>
        <v>5847.6900000000005</v>
      </c>
      <c r="O153" s="76">
        <f>N153/$N$172</f>
        <v>0.05273117416223055</v>
      </c>
      <c r="P153" s="77">
        <f>N153/10655.6/12</f>
        <v>0.045732525620331095</v>
      </c>
      <c r="Q153" s="73">
        <f>N153*0.3231</f>
        <v>1889.3886390000002</v>
      </c>
    </row>
    <row r="154" spans="1:17" ht="12.75">
      <c r="A154" s="5"/>
      <c r="B154" s="16"/>
      <c r="C154" s="16"/>
      <c r="D154" s="16"/>
      <c r="E154" s="16"/>
      <c r="F154" s="83"/>
      <c r="G154" s="83"/>
      <c r="H154" s="83"/>
      <c r="I154" s="83"/>
      <c r="J154" s="83"/>
      <c r="K154" s="83"/>
      <c r="L154" s="83"/>
      <c r="M154" s="85"/>
      <c r="N154" s="18"/>
      <c r="O154" s="78"/>
      <c r="P154" s="77"/>
      <c r="Q154" s="73"/>
    </row>
    <row r="155" spans="1:17" ht="12.75">
      <c r="A155" s="5" t="s">
        <v>74</v>
      </c>
      <c r="B155" s="16">
        <v>942.29</v>
      </c>
      <c r="C155" s="16">
        <v>685.24</v>
      </c>
      <c r="D155" s="16">
        <v>466.27</v>
      </c>
      <c r="E155" s="16">
        <v>551.12</v>
      </c>
      <c r="F155" s="83">
        <v>475.89</v>
      </c>
      <c r="G155" s="83">
        <v>552.42</v>
      </c>
      <c r="H155" s="83">
        <v>561.61</v>
      </c>
      <c r="I155" s="83">
        <v>145.95</v>
      </c>
      <c r="J155" s="83">
        <v>902</v>
      </c>
      <c r="K155" s="83">
        <v>590.36</v>
      </c>
      <c r="L155" s="83">
        <v>512.73</v>
      </c>
      <c r="M155" s="85">
        <f>137.54+15.49+366.83</f>
        <v>519.86</v>
      </c>
      <c r="N155" s="18">
        <f>SUM(B155:M155)</f>
        <v>6905.74</v>
      </c>
      <c r="O155" s="76">
        <f>N155/$N$172</f>
        <v>0.06227207301670949</v>
      </c>
      <c r="P155" s="77">
        <f>N155/10655.6/12</f>
        <v>0.054007126143373746</v>
      </c>
      <c r="Q155" s="73">
        <f>N155*0.3231</f>
        <v>2231.244594</v>
      </c>
    </row>
    <row r="156" spans="1:17" ht="12.75">
      <c r="A156" s="5"/>
      <c r="B156" s="16"/>
      <c r="C156" s="16"/>
      <c r="D156" s="16"/>
      <c r="E156" s="16"/>
      <c r="F156" s="83"/>
      <c r="G156" s="83"/>
      <c r="H156" s="83"/>
      <c r="I156" s="83"/>
      <c r="J156" s="83"/>
      <c r="K156" s="83"/>
      <c r="L156" s="83"/>
      <c r="M156" s="85"/>
      <c r="N156" s="18"/>
      <c r="O156" s="78"/>
      <c r="P156" s="77"/>
      <c r="Q156" s="73"/>
    </row>
    <row r="157" spans="1:17" ht="12.75">
      <c r="A157" s="5" t="s">
        <v>39</v>
      </c>
      <c r="B157" s="16">
        <v>289.55</v>
      </c>
      <c r="C157" s="16">
        <v>87.3</v>
      </c>
      <c r="D157" s="16">
        <v>141.25</v>
      </c>
      <c r="E157" s="16">
        <v>129.85</v>
      </c>
      <c r="F157" s="83">
        <v>151.1</v>
      </c>
      <c r="G157" s="83">
        <v>11.25</v>
      </c>
      <c r="H157" s="83">
        <v>105.55</v>
      </c>
      <c r="I157" s="83">
        <v>89.95</v>
      </c>
      <c r="J157" s="83">
        <v>89.1</v>
      </c>
      <c r="K157" s="83">
        <v>85.75</v>
      </c>
      <c r="L157" s="83">
        <v>188.75</v>
      </c>
      <c r="M157" s="85">
        <f>19.05</f>
        <v>19.05</v>
      </c>
      <c r="N157" s="18">
        <f>SUM(B157:M157)</f>
        <v>1388.4499999999998</v>
      </c>
      <c r="O157" s="76">
        <f>N157/$N$172</f>
        <v>0.012520259925808137</v>
      </c>
      <c r="P157" s="77">
        <f>N157/10655.6/12</f>
        <v>0.010858531351276948</v>
      </c>
      <c r="Q157" s="73">
        <f>N157*0.3231</f>
        <v>448.60819499999997</v>
      </c>
    </row>
    <row r="158" spans="1:17" ht="12.75">
      <c r="A158" s="5"/>
      <c r="B158" s="16"/>
      <c r="C158" s="16"/>
      <c r="D158" s="16"/>
      <c r="E158" s="16"/>
      <c r="F158" s="83"/>
      <c r="G158" s="83"/>
      <c r="H158" s="83"/>
      <c r="I158" s="83"/>
      <c r="J158" s="83"/>
      <c r="K158" s="83"/>
      <c r="L158" s="83"/>
      <c r="M158" s="85"/>
      <c r="N158" s="18"/>
      <c r="O158" s="78"/>
      <c r="P158" s="77"/>
      <c r="Q158" s="73"/>
    </row>
    <row r="159" spans="1:17" ht="12.75">
      <c r="A159" s="5" t="s">
        <v>40</v>
      </c>
      <c r="B159" s="16">
        <v>4700</v>
      </c>
      <c r="C159" s="16">
        <v>4700</v>
      </c>
      <c r="D159" s="16">
        <v>4700</v>
      </c>
      <c r="E159" s="16">
        <v>4700</v>
      </c>
      <c r="F159" s="83">
        <v>4700</v>
      </c>
      <c r="G159" s="83">
        <v>4700</v>
      </c>
      <c r="H159" s="83">
        <v>4700</v>
      </c>
      <c r="I159" s="83">
        <v>5700</v>
      </c>
      <c r="J159" s="83">
        <v>4700</v>
      </c>
      <c r="K159" s="83">
        <v>4700</v>
      </c>
      <c r="L159" s="83">
        <v>4700</v>
      </c>
      <c r="M159" s="85">
        <v>7160</v>
      </c>
      <c r="N159" s="18">
        <f>SUM(B159:M159)</f>
        <v>59860</v>
      </c>
      <c r="O159" s="76">
        <f>N159/$N$172</f>
        <v>0.539783758262001</v>
      </c>
      <c r="P159" s="77">
        <f>N159/10655.6/12</f>
        <v>0.46814194727029296</v>
      </c>
      <c r="Q159" s="73"/>
    </row>
    <row r="160" spans="1:17" ht="12.75">
      <c r="A160" s="5"/>
      <c r="B160" s="16"/>
      <c r="C160" s="16"/>
      <c r="D160" s="16"/>
      <c r="E160" s="16"/>
      <c r="F160" s="83"/>
      <c r="G160" s="83"/>
      <c r="H160" s="83"/>
      <c r="I160" s="83"/>
      <c r="J160" s="83"/>
      <c r="K160" s="83"/>
      <c r="L160" s="83"/>
      <c r="M160" s="85"/>
      <c r="N160" s="18"/>
      <c r="O160" s="78"/>
      <c r="P160" s="77"/>
      <c r="Q160" s="73"/>
    </row>
    <row r="161" spans="1:17" ht="12.75">
      <c r="A161" s="5" t="s">
        <v>41</v>
      </c>
      <c r="B161" s="16">
        <v>802.26</v>
      </c>
      <c r="C161" s="16">
        <v>868.56</v>
      </c>
      <c r="D161" s="16">
        <f>868.56+750</f>
        <v>1618.56</v>
      </c>
      <c r="E161" s="16">
        <v>868.56</v>
      </c>
      <c r="F161" s="83">
        <v>868.56</v>
      </c>
      <c r="G161" s="83">
        <v>868.56</v>
      </c>
      <c r="H161" s="83">
        <v>868.56</v>
      </c>
      <c r="I161" s="83">
        <v>868.56</v>
      </c>
      <c r="J161" s="83">
        <v>868.56</v>
      </c>
      <c r="K161" s="83">
        <v>868.56</v>
      </c>
      <c r="L161" s="83">
        <v>868.56</v>
      </c>
      <c r="M161" s="85">
        <v>1768.56</v>
      </c>
      <c r="N161" s="18">
        <f>SUM(B161:M161)</f>
        <v>12006.419999999996</v>
      </c>
      <c r="O161" s="76">
        <f>N161/$N$172</f>
        <v>0.10826713182211913</v>
      </c>
      <c r="P161" s="77">
        <f>N161/10655.6/12</f>
        <v>0.09389757498404593</v>
      </c>
      <c r="Q161" s="73"/>
    </row>
    <row r="162" spans="1:17" ht="12.75">
      <c r="A162" s="5"/>
      <c r="B162" s="16"/>
      <c r="C162" s="16"/>
      <c r="D162" s="16"/>
      <c r="E162" s="16"/>
      <c r="F162" s="83"/>
      <c r="G162" s="83"/>
      <c r="H162" s="83"/>
      <c r="I162" s="83"/>
      <c r="J162" s="83"/>
      <c r="K162" s="83"/>
      <c r="L162" s="83"/>
      <c r="M162" s="85"/>
      <c r="N162" s="18"/>
      <c r="O162" s="78"/>
      <c r="P162" s="77"/>
      <c r="Q162" s="73"/>
    </row>
    <row r="163" spans="1:17" ht="12.75">
      <c r="A163" s="5" t="s">
        <v>42</v>
      </c>
      <c r="B163" s="16"/>
      <c r="C163" s="16"/>
      <c r="D163" s="16">
        <v>750</v>
      </c>
      <c r="E163" s="16"/>
      <c r="F163" s="83"/>
      <c r="G163" s="83">
        <v>750</v>
      </c>
      <c r="H163" s="83"/>
      <c r="I163" s="83"/>
      <c r="J163" s="83">
        <v>844</v>
      </c>
      <c r="K163" s="83"/>
      <c r="L163" s="83"/>
      <c r="M163" s="85">
        <f>750+125.37</f>
        <v>875.37</v>
      </c>
      <c r="N163" s="18">
        <f>SUM(B163:M163)</f>
        <v>3219.37</v>
      </c>
      <c r="O163" s="76">
        <f>N163/$N$172</f>
        <v>0.02903046504904674</v>
      </c>
      <c r="P163" s="77">
        <f>N163/10655.6/12</f>
        <v>0.025177449729093932</v>
      </c>
      <c r="Q163" s="73">
        <f>N163*0.3231</f>
        <v>1040.178447</v>
      </c>
    </row>
    <row r="164" spans="1:17" ht="12.75">
      <c r="A164" s="5"/>
      <c r="B164" s="16"/>
      <c r="C164" s="16"/>
      <c r="D164" s="16"/>
      <c r="E164" s="16"/>
      <c r="F164" s="83"/>
      <c r="G164" s="83"/>
      <c r="H164" s="83"/>
      <c r="I164" s="83"/>
      <c r="J164" s="83"/>
      <c r="K164" s="83"/>
      <c r="L164" s="83"/>
      <c r="M164" s="85"/>
      <c r="N164" s="18"/>
      <c r="O164" s="78"/>
      <c r="P164" s="77"/>
      <c r="Q164" s="73"/>
    </row>
    <row r="165" spans="1:17" ht="12.75">
      <c r="A165" s="5" t="s">
        <v>23</v>
      </c>
      <c r="B165" s="16"/>
      <c r="C165" s="16">
        <v>403</v>
      </c>
      <c r="D165" s="16"/>
      <c r="E165" s="16"/>
      <c r="F165" s="83"/>
      <c r="G165" s="83"/>
      <c r="H165" s="83"/>
      <c r="I165" s="83">
        <v>399</v>
      </c>
      <c r="J165" s="83"/>
      <c r="K165" s="83"/>
      <c r="L165" s="83"/>
      <c r="M165" s="85"/>
      <c r="N165" s="18">
        <f>SUM(B165:M165)</f>
        <v>802</v>
      </c>
      <c r="O165" s="76">
        <f>N165/$N$172</f>
        <v>0.007231984198565398</v>
      </c>
      <c r="P165" s="77">
        <f>N165/10655.6/12</f>
        <v>0.006272132337299948</v>
      </c>
      <c r="Q165" s="73">
        <f>N165*0.3231</f>
        <v>259.1262</v>
      </c>
    </row>
    <row r="166" spans="1:17" ht="12.75">
      <c r="A166" s="5"/>
      <c r="B166" s="16"/>
      <c r="C166" s="16"/>
      <c r="D166" s="16"/>
      <c r="E166" s="16"/>
      <c r="F166" s="83"/>
      <c r="G166" s="83"/>
      <c r="H166" s="83"/>
      <c r="I166" s="83"/>
      <c r="J166" s="83"/>
      <c r="K166" s="83"/>
      <c r="L166" s="83"/>
      <c r="M166" s="85"/>
      <c r="N166" s="18"/>
      <c r="O166" s="76"/>
      <c r="P166" s="77"/>
      <c r="Q166" s="73"/>
    </row>
    <row r="167" spans="1:17" ht="12.75">
      <c r="A167" s="5" t="s">
        <v>87</v>
      </c>
      <c r="B167" s="16"/>
      <c r="C167" s="16"/>
      <c r="D167" s="16"/>
      <c r="E167" s="16"/>
      <c r="F167" s="83"/>
      <c r="G167" s="83">
        <v>122</v>
      </c>
      <c r="H167" s="83">
        <v>650</v>
      </c>
      <c r="I167" s="83"/>
      <c r="J167" s="83"/>
      <c r="K167" s="83"/>
      <c r="L167" s="83"/>
      <c r="M167" s="85">
        <f>90.13+156.59+2337</f>
        <v>2583.72</v>
      </c>
      <c r="N167" s="18">
        <f>SUM(B167:M167)</f>
        <v>3355.72</v>
      </c>
      <c r="O167" s="76">
        <f>N167/$N$172</f>
        <v>0.030259992537169423</v>
      </c>
      <c r="P167" s="77">
        <f>N167/10655.6/12</f>
        <v>0.026243790432573796</v>
      </c>
      <c r="Q167" s="73"/>
    </row>
    <row r="168" spans="1:17" ht="12.75">
      <c r="A168" s="5"/>
      <c r="B168" s="16"/>
      <c r="C168" s="16"/>
      <c r="D168" s="16"/>
      <c r="E168" s="16"/>
      <c r="F168" s="83"/>
      <c r="G168" s="83"/>
      <c r="H168" s="83"/>
      <c r="I168" s="83"/>
      <c r="J168" s="83"/>
      <c r="K168" s="83"/>
      <c r="L168" s="83"/>
      <c r="M168" s="85"/>
      <c r="N168" s="18"/>
      <c r="O168" s="78"/>
      <c r="P168" s="77"/>
      <c r="Q168" s="73"/>
    </row>
    <row r="169" spans="1:17" ht="12.75">
      <c r="A169" s="5" t="s">
        <v>43</v>
      </c>
      <c r="B169" s="16">
        <v>67</v>
      </c>
      <c r="C169" s="16">
        <v>67</v>
      </c>
      <c r="D169" s="16">
        <v>67</v>
      </c>
      <c r="E169" s="16">
        <v>67</v>
      </c>
      <c r="F169" s="83">
        <v>67</v>
      </c>
      <c r="G169" s="83">
        <v>67</v>
      </c>
      <c r="H169" s="83">
        <v>67</v>
      </c>
      <c r="I169" s="83">
        <v>67</v>
      </c>
      <c r="J169" s="83">
        <v>67</v>
      </c>
      <c r="K169" s="83">
        <v>67</v>
      </c>
      <c r="L169" s="83">
        <v>67</v>
      </c>
      <c r="M169" s="85">
        <v>67</v>
      </c>
      <c r="N169" s="18">
        <f>SUM(B169:M169)</f>
        <v>804</v>
      </c>
      <c r="O169" s="76">
        <f>N169/$N$172</f>
        <v>0.007250019071878529</v>
      </c>
      <c r="P169" s="77">
        <f>N169/10655.6/12</f>
        <v>0.006287773565073765</v>
      </c>
      <c r="Q169" s="73">
        <f>N169*0.3231</f>
        <v>259.7724</v>
      </c>
    </row>
    <row r="170" spans="1:17" ht="12.75">
      <c r="A170" s="5"/>
      <c r="B170" s="13"/>
      <c r="C170" s="13"/>
      <c r="D170" s="13"/>
      <c r="E170" s="13"/>
      <c r="F170" s="86"/>
      <c r="G170" s="86"/>
      <c r="H170" s="13"/>
      <c r="I170" s="13"/>
      <c r="J170" s="13"/>
      <c r="K170" s="86"/>
      <c r="L170" s="86"/>
      <c r="M170" s="87"/>
      <c r="N170" s="15"/>
      <c r="O170" s="79"/>
      <c r="P170" s="54"/>
      <c r="Q170" s="73"/>
    </row>
    <row r="171" spans="1:17" ht="12.75">
      <c r="A171" s="20"/>
      <c r="B171" s="2"/>
      <c r="C171" s="2"/>
      <c r="D171" s="2"/>
      <c r="E171" s="2"/>
      <c r="F171" s="88"/>
      <c r="G171" s="88"/>
      <c r="H171" s="2"/>
      <c r="I171" s="2"/>
      <c r="J171" s="2"/>
      <c r="K171" s="88"/>
      <c r="L171" s="88"/>
      <c r="M171" s="89"/>
      <c r="N171" s="4"/>
      <c r="P171" s="73"/>
      <c r="Q171" s="106"/>
    </row>
    <row r="172" spans="1:17" ht="12.75">
      <c r="A172" s="22"/>
      <c r="B172" s="16">
        <f>SUM(B142:B169)</f>
        <v>8222.45</v>
      </c>
      <c r="C172" s="16">
        <f>SUM(C142:C169)</f>
        <v>8784.66</v>
      </c>
      <c r="D172" s="16">
        <f>SUM(D142:D169)</f>
        <v>9605.369999999999</v>
      </c>
      <c r="E172" s="16">
        <f>SUM(E142:E169)</f>
        <v>7891.59</v>
      </c>
      <c r="F172" s="83">
        <f>SUM(F142:F169)</f>
        <v>7820.84</v>
      </c>
      <c r="G172" s="83">
        <f>SUM(G142:G169)</f>
        <v>8377.94</v>
      </c>
      <c r="H172" s="16">
        <f>SUM(H142:H169)</f>
        <v>8706.96</v>
      </c>
      <c r="I172" s="16">
        <f>SUM(I142:I169)</f>
        <v>9237.73</v>
      </c>
      <c r="J172" s="16">
        <f>SUM(J142:J169)</f>
        <v>10902.8</v>
      </c>
      <c r="K172" s="16">
        <f>SUM(K142:K169)</f>
        <v>7743.58</v>
      </c>
      <c r="L172" s="83">
        <f>SUM(L142:L169)</f>
        <v>8902.789999999999</v>
      </c>
      <c r="M172" s="90">
        <f>SUM(M142:M169)</f>
        <v>14699.55</v>
      </c>
      <c r="N172" s="18">
        <f>SUM(N142:N169)</f>
        <v>110896.26</v>
      </c>
      <c r="O172" s="76"/>
      <c r="P172" s="77"/>
      <c r="Q172" s="73"/>
    </row>
    <row r="173" spans="1:17" ht="12.75">
      <c r="A173" s="24"/>
      <c r="B173" s="10"/>
      <c r="C173" s="10"/>
      <c r="D173" s="10"/>
      <c r="E173" s="10"/>
      <c r="F173" s="91"/>
      <c r="G173" s="91"/>
      <c r="H173" s="10"/>
      <c r="I173" s="10"/>
      <c r="J173" s="10"/>
      <c r="K173" s="10"/>
      <c r="L173" s="91"/>
      <c r="M173" s="92"/>
      <c r="N173" s="12"/>
      <c r="O173" s="80"/>
      <c r="P173" s="81"/>
      <c r="Q173" s="81"/>
    </row>
    <row r="174" spans="1:14" ht="12.75">
      <c r="A174" s="1"/>
      <c r="B174" s="1"/>
      <c r="C174" s="1"/>
      <c r="D174" s="1"/>
      <c r="E174" s="1"/>
      <c r="F174" s="59"/>
      <c r="G174" s="59"/>
      <c r="H174" s="1"/>
      <c r="I174" s="1"/>
      <c r="J174" s="1"/>
      <c r="K174" s="1"/>
      <c r="L174" s="59"/>
      <c r="M174" s="59"/>
      <c r="N174" s="1"/>
    </row>
    <row r="175" spans="1:14" ht="12.75">
      <c r="A175" s="1"/>
      <c r="B175" s="1"/>
      <c r="C175" s="1"/>
      <c r="D175" s="1"/>
      <c r="E175" s="1"/>
      <c r="F175" s="59"/>
      <c r="G175" s="59"/>
      <c r="H175" s="1"/>
      <c r="I175" s="1"/>
      <c r="J175" s="1"/>
      <c r="K175" s="1"/>
      <c r="L175" s="59"/>
      <c r="M175" s="59"/>
      <c r="N175" s="1">
        <f>N172-N159-N161</f>
        <v>39029.84</v>
      </c>
    </row>
    <row r="176" spans="1:14" ht="12.75">
      <c r="A176" s="1"/>
      <c r="B176" s="1"/>
      <c r="C176" s="1"/>
      <c r="D176" s="1"/>
      <c r="E176" s="1"/>
      <c r="F176" s="59"/>
      <c r="G176" s="59"/>
      <c r="H176" s="1"/>
      <c r="I176" s="1"/>
      <c r="J176" s="1"/>
      <c r="K176" s="1"/>
      <c r="L176" s="59"/>
      <c r="M176" s="59"/>
      <c r="N176" s="1"/>
    </row>
    <row r="177" spans="1:13" ht="12.75">
      <c r="A177" t="s">
        <v>75</v>
      </c>
      <c r="B177">
        <v>6756</v>
      </c>
      <c r="F177" s="94"/>
      <c r="G177" s="94"/>
      <c r="L177" s="94"/>
      <c r="M177" s="94"/>
    </row>
    <row r="178" spans="1:13" ht="12.75">
      <c r="A178" t="s">
        <v>76</v>
      </c>
      <c r="B178">
        <v>3276.8</v>
      </c>
      <c r="F178" s="94"/>
      <c r="G178" s="94"/>
      <c r="L178" s="94"/>
      <c r="M178" s="94"/>
    </row>
    <row r="179" spans="1:13" ht="12.75">
      <c r="A179" t="s">
        <v>77</v>
      </c>
      <c r="B179">
        <v>622.8</v>
      </c>
      <c r="F179" s="94"/>
      <c r="G179" s="94"/>
      <c r="L179" s="94"/>
      <c r="M179" s="94"/>
    </row>
    <row r="180" spans="2:13" ht="12.75">
      <c r="B180" s="82">
        <f>SUM(B177:B179)</f>
        <v>10655.6</v>
      </c>
      <c r="F180" s="94"/>
      <c r="G180" s="94"/>
      <c r="L180" s="94"/>
      <c r="M180" s="94"/>
    </row>
    <row r="181" spans="6:13" ht="12.75">
      <c r="F181" s="94"/>
      <c r="G181" s="94"/>
      <c r="L181" s="94"/>
      <c r="M181" s="94"/>
    </row>
    <row r="182" spans="6:13" ht="12.75">
      <c r="F182" s="94"/>
      <c r="G182" s="94"/>
      <c r="L182" s="94"/>
      <c r="M182" s="94"/>
    </row>
    <row r="183" spans="6:13" ht="12.75">
      <c r="F183" s="94"/>
      <c r="G183" s="94"/>
      <c r="L183" s="94"/>
      <c r="M183" s="94"/>
    </row>
    <row r="184" spans="6:13" ht="12.75">
      <c r="F184" s="94"/>
      <c r="G184" s="94"/>
      <c r="L184" s="94"/>
      <c r="M184" s="94"/>
    </row>
    <row r="185" spans="6:13" ht="12.75">
      <c r="F185" s="94"/>
      <c r="G185" s="94"/>
      <c r="L185" s="94"/>
      <c r="M185" s="94"/>
    </row>
    <row r="186" spans="6:13" ht="12.75">
      <c r="F186" s="94"/>
      <c r="G186" s="94"/>
      <c r="L186" s="94"/>
      <c r="M186" s="94"/>
    </row>
    <row r="187" spans="6:13" ht="12.75">
      <c r="F187" s="94"/>
      <c r="G187" s="94"/>
      <c r="L187" s="94"/>
      <c r="M187" s="94"/>
    </row>
    <row r="188" spans="6:7" ht="12.75">
      <c r="F188" s="94"/>
      <c r="G188" s="94"/>
    </row>
    <row r="189" spans="6:7" ht="12.75">
      <c r="F189" s="94"/>
      <c r="G189" s="94"/>
    </row>
    <row r="190" spans="6:7" ht="12.75">
      <c r="F190" s="94"/>
      <c r="G190" s="94"/>
    </row>
    <row r="191" spans="6:7" ht="12.75">
      <c r="F191" s="94"/>
      <c r="G191" s="9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3"/>
  <sheetViews>
    <sheetView zoomScale="81" zoomScaleNormal="81" workbookViewId="0" topLeftCell="A124">
      <selection activeCell="B37" sqref="B37"/>
    </sheetView>
  </sheetViews>
  <sheetFormatPr defaultColWidth="12.57421875" defaultRowHeight="12.75"/>
  <cols>
    <col min="1" max="1" width="23.00390625" style="0" customWidth="1"/>
    <col min="2" max="2" width="9.00390625" style="0" customWidth="1"/>
    <col min="3" max="3" width="9.7109375" style="0" customWidth="1"/>
    <col min="4" max="4" width="9.00390625" style="0" customWidth="1"/>
    <col min="5" max="5" width="10.140625" style="0" customWidth="1"/>
    <col min="6" max="6" width="8.140625" style="0" customWidth="1"/>
    <col min="7" max="8" width="10.140625" style="0" customWidth="1"/>
    <col min="9" max="9" width="9.00390625" style="0" customWidth="1"/>
    <col min="10" max="11" width="10.140625" style="0" customWidth="1"/>
    <col min="12" max="12" width="8.140625" style="0" customWidth="1"/>
    <col min="13" max="13" width="9.00390625" style="0" customWidth="1"/>
    <col min="14" max="14" width="10.00390625" style="0" customWidth="1"/>
    <col min="15" max="15" width="8.00390625" style="0" customWidth="1"/>
    <col min="16" max="16" width="10.140625" style="0" customWidth="1"/>
    <col min="17" max="17" width="8.00390625" style="0" customWidth="1"/>
    <col min="18" max="16384" width="11.57421875" style="0" customWidth="1"/>
  </cols>
  <sheetData>
    <row r="1" spans="4:13" ht="12.75">
      <c r="D1" s="94"/>
      <c r="I1" s="94"/>
      <c r="M1" s="26" t="s">
        <v>88</v>
      </c>
    </row>
    <row r="2" spans="1:18" ht="12.75">
      <c r="A2" s="71">
        <v>2011</v>
      </c>
      <c r="B2" t="s">
        <v>0</v>
      </c>
      <c r="D2" s="94"/>
      <c r="I2" s="94"/>
      <c r="M2" s="27" t="s">
        <v>89</v>
      </c>
      <c r="R2" s="27" t="s">
        <v>78</v>
      </c>
    </row>
    <row r="3" spans="1:17" ht="12.75">
      <c r="A3" s="2"/>
      <c r="B3" s="2"/>
      <c r="C3" s="2"/>
      <c r="D3" s="88"/>
      <c r="E3" s="2"/>
      <c r="F3" s="2"/>
      <c r="G3" s="88"/>
      <c r="H3" s="2"/>
      <c r="I3" s="88"/>
      <c r="J3" s="2"/>
      <c r="K3" s="2"/>
      <c r="L3" s="2"/>
      <c r="M3" s="3"/>
      <c r="N3" s="4"/>
      <c r="O3" s="28"/>
      <c r="P3" s="29" t="s">
        <v>79</v>
      </c>
      <c r="Q3" s="30"/>
    </row>
    <row r="4" spans="1:17" ht="12.75">
      <c r="A4" s="5" t="s">
        <v>1</v>
      </c>
      <c r="B4" s="6" t="s">
        <v>2</v>
      </c>
      <c r="C4" s="6" t="s">
        <v>3</v>
      </c>
      <c r="D4" s="99" t="s">
        <v>4</v>
      </c>
      <c r="E4" s="6" t="s">
        <v>5</v>
      </c>
      <c r="F4" s="6" t="s">
        <v>6</v>
      </c>
      <c r="G4" s="99" t="s">
        <v>7</v>
      </c>
      <c r="H4" s="6" t="s">
        <v>8</v>
      </c>
      <c r="I4" s="99" t="s">
        <v>9</v>
      </c>
      <c r="J4" s="6" t="s">
        <v>10</v>
      </c>
      <c r="K4" s="99" t="s">
        <v>11</v>
      </c>
      <c r="L4" s="6" t="s">
        <v>12</v>
      </c>
      <c r="M4" s="7" t="s">
        <v>13</v>
      </c>
      <c r="N4" s="8" t="s">
        <v>14</v>
      </c>
      <c r="O4" s="31" t="s">
        <v>47</v>
      </c>
      <c r="P4" s="32"/>
      <c r="Q4" s="33" t="s">
        <v>47</v>
      </c>
    </row>
    <row r="5" spans="1:17" ht="12.75">
      <c r="A5" s="9"/>
      <c r="B5" s="10"/>
      <c r="C5" s="10"/>
      <c r="D5" s="91"/>
      <c r="E5" s="10"/>
      <c r="F5" s="10"/>
      <c r="G5" s="91"/>
      <c r="H5" s="10"/>
      <c r="I5" s="91"/>
      <c r="J5" s="10"/>
      <c r="K5" s="91"/>
      <c r="L5" s="10"/>
      <c r="M5" s="11"/>
      <c r="N5" s="12"/>
      <c r="O5" s="34"/>
      <c r="P5" s="32" t="s">
        <v>48</v>
      </c>
      <c r="Q5" s="35" t="s">
        <v>49</v>
      </c>
    </row>
    <row r="6" spans="1:17" ht="12.75">
      <c r="A6" s="5"/>
      <c r="B6" s="13"/>
      <c r="C6" s="13"/>
      <c r="D6" s="86"/>
      <c r="E6" s="13"/>
      <c r="F6" s="13"/>
      <c r="G6" s="86"/>
      <c r="H6" s="13"/>
      <c r="I6" s="86"/>
      <c r="J6" s="13"/>
      <c r="K6" s="86"/>
      <c r="L6" s="13"/>
      <c r="M6" s="14"/>
      <c r="N6" s="15"/>
      <c r="O6" s="31"/>
      <c r="P6" s="36"/>
      <c r="Q6" s="37"/>
    </row>
    <row r="7" spans="1:17" ht="12.75">
      <c r="A7" s="5" t="s">
        <v>15</v>
      </c>
      <c r="B7" s="16">
        <v>1487</v>
      </c>
      <c r="C7" s="83">
        <v>2791</v>
      </c>
      <c r="D7" s="83">
        <v>1304</v>
      </c>
      <c r="E7" s="83">
        <v>1534.8</v>
      </c>
      <c r="F7" s="83">
        <v>1460</v>
      </c>
      <c r="G7" s="83">
        <v>1461</v>
      </c>
      <c r="H7" s="83">
        <v>1461</v>
      </c>
      <c r="I7" s="83">
        <v>1461</v>
      </c>
      <c r="J7" s="83">
        <v>1461</v>
      </c>
      <c r="K7" s="83">
        <v>1600</v>
      </c>
      <c r="L7" s="83">
        <v>1700</v>
      </c>
      <c r="M7" s="83">
        <v>1550</v>
      </c>
      <c r="N7" s="18">
        <f>SUM(B7:M7)</f>
        <v>19270.8</v>
      </c>
      <c r="O7" s="31">
        <f>N7/6756/12</f>
        <v>0.23769982238010656</v>
      </c>
      <c r="P7" s="38">
        <v>21000</v>
      </c>
      <c r="Q7" s="39">
        <f>P7/6756/12</f>
        <v>0.2590290112492599</v>
      </c>
    </row>
    <row r="8" spans="1:17" ht="12.75">
      <c r="A8" s="19"/>
      <c r="B8" s="16"/>
      <c r="C8" s="83"/>
      <c r="D8" s="83"/>
      <c r="E8" s="83"/>
      <c r="F8" s="83"/>
      <c r="G8" s="83"/>
      <c r="H8" s="83"/>
      <c r="I8" s="83"/>
      <c r="J8" s="83"/>
      <c r="K8" s="84"/>
      <c r="L8" s="83"/>
      <c r="M8" s="85"/>
      <c r="N8" s="18"/>
      <c r="O8" s="31"/>
      <c r="P8" s="38"/>
      <c r="Q8" s="39"/>
    </row>
    <row r="9" spans="1:17" ht="12.75">
      <c r="A9" s="5" t="s">
        <v>16</v>
      </c>
      <c r="B9" s="16">
        <v>1330.41</v>
      </c>
      <c r="C9" s="83"/>
      <c r="D9" s="83">
        <v>818.53</v>
      </c>
      <c r="E9" s="83"/>
      <c r="F9" s="83">
        <v>1154.76</v>
      </c>
      <c r="G9" s="83"/>
      <c r="H9" s="83">
        <v>999.85</v>
      </c>
      <c r="I9" s="83"/>
      <c r="J9" s="83">
        <v>638.83</v>
      </c>
      <c r="K9" s="84"/>
      <c r="L9" s="83">
        <v>688.35</v>
      </c>
      <c r="M9" s="85"/>
      <c r="N9" s="18">
        <f>SUM(B9:M9)</f>
        <v>5630.73</v>
      </c>
      <c r="O9" s="31">
        <f>N9/6756/12</f>
        <v>0.06945344878626405</v>
      </c>
      <c r="P9" s="38">
        <v>6200</v>
      </c>
      <c r="Q9" s="39">
        <f>P9/6756/12</f>
        <v>0.07647523189263865</v>
      </c>
    </row>
    <row r="10" spans="1:17" ht="12.75">
      <c r="A10" s="5"/>
      <c r="B10" s="16"/>
      <c r="C10" s="83"/>
      <c r="D10" s="83"/>
      <c r="E10" s="83"/>
      <c r="F10" s="83"/>
      <c r="G10" s="83"/>
      <c r="H10" s="83"/>
      <c r="I10" s="83"/>
      <c r="J10" s="83"/>
      <c r="K10" s="84"/>
      <c r="L10" s="83"/>
      <c r="M10" s="85"/>
      <c r="N10" s="18"/>
      <c r="O10" s="31"/>
      <c r="P10" s="38"/>
      <c r="Q10" s="39"/>
    </row>
    <row r="11" spans="1:17" ht="12.75">
      <c r="A11" s="5" t="s">
        <v>50</v>
      </c>
      <c r="B11" s="16"/>
      <c r="C11" s="83"/>
      <c r="D11" s="83"/>
      <c r="E11" s="83"/>
      <c r="F11" s="83"/>
      <c r="G11" s="83"/>
      <c r="H11" s="83"/>
      <c r="I11" s="83">
        <v>2585.54</v>
      </c>
      <c r="J11" s="83"/>
      <c r="K11" s="84"/>
      <c r="L11" s="83"/>
      <c r="M11" s="85"/>
      <c r="N11" s="18">
        <f>SUM(B11:M11)</f>
        <v>2585.54</v>
      </c>
      <c r="O11" s="31">
        <f>N11/6756/12</f>
        <v>0.031891898559305305</v>
      </c>
      <c r="P11" s="38">
        <v>3200</v>
      </c>
      <c r="Q11" s="39">
        <f>P11/6756/12</f>
        <v>0.03947108742845865</v>
      </c>
    </row>
    <row r="12" spans="1:17" ht="12.75">
      <c r="A12" s="5"/>
      <c r="B12" s="16"/>
      <c r="C12" s="83"/>
      <c r="D12" s="83"/>
      <c r="E12" s="83"/>
      <c r="F12" s="83"/>
      <c r="G12" s="83"/>
      <c r="H12" s="83"/>
      <c r="I12" s="83"/>
      <c r="J12" s="83"/>
      <c r="K12" s="84"/>
      <c r="L12" s="83"/>
      <c r="M12" s="85"/>
      <c r="N12" s="18"/>
      <c r="O12" s="31"/>
      <c r="P12" s="38"/>
      <c r="Q12" s="39"/>
    </row>
    <row r="13" spans="1:17" ht="12.75">
      <c r="A13" s="5" t="s">
        <v>18</v>
      </c>
      <c r="B13" s="16">
        <v>1229.2</v>
      </c>
      <c r="C13" s="83">
        <v>260.9</v>
      </c>
      <c r="D13" s="83">
        <v>260.8</v>
      </c>
      <c r="E13" s="83">
        <v>260.8</v>
      </c>
      <c r="F13" s="83">
        <v>260</v>
      </c>
      <c r="G13" s="83">
        <v>260.9</v>
      </c>
      <c r="H13" s="83">
        <v>260.9</v>
      </c>
      <c r="I13" s="83">
        <v>260.9</v>
      </c>
      <c r="J13" s="83">
        <v>390</v>
      </c>
      <c r="K13" s="83">
        <v>280</v>
      </c>
      <c r="L13" s="83">
        <v>450</v>
      </c>
      <c r="M13" s="83">
        <v>260</v>
      </c>
      <c r="N13" s="18">
        <f>SUM(B13:M13)</f>
        <v>4434.400000000001</v>
      </c>
      <c r="O13" s="31">
        <f>N13/6756/12</f>
        <v>0.054697059403986587</v>
      </c>
      <c r="P13" s="38">
        <v>8600</v>
      </c>
      <c r="Q13" s="39">
        <f>P13/6756/12</f>
        <v>0.10607854746398264</v>
      </c>
    </row>
    <row r="14" spans="1:17" ht="12.75">
      <c r="A14" s="5"/>
      <c r="B14" s="16"/>
      <c r="C14" s="83"/>
      <c r="D14" s="83"/>
      <c r="E14" s="83"/>
      <c r="F14" s="83"/>
      <c r="G14" s="83"/>
      <c r="H14" s="83"/>
      <c r="I14" s="83"/>
      <c r="J14" s="83"/>
      <c r="K14" s="84"/>
      <c r="L14" s="83"/>
      <c r="M14" s="85"/>
      <c r="N14" s="18"/>
      <c r="O14" s="31"/>
      <c r="P14" s="38"/>
      <c r="Q14" s="39"/>
    </row>
    <row r="15" spans="1:17" ht="12.75">
      <c r="A15" s="5" t="s">
        <v>19</v>
      </c>
      <c r="B15" s="16"/>
      <c r="C15" s="83"/>
      <c r="D15" s="83"/>
      <c r="E15" s="83"/>
      <c r="F15" s="83">
        <v>1240</v>
      </c>
      <c r="G15" s="83"/>
      <c r="H15" s="83"/>
      <c r="I15" s="83"/>
      <c r="J15" s="83"/>
      <c r="K15" s="84"/>
      <c r="L15" s="83"/>
      <c r="M15" s="85">
        <v>1749</v>
      </c>
      <c r="N15" s="18">
        <f>SUM(B15:M15)</f>
        <v>2989</v>
      </c>
      <c r="O15" s="31">
        <f>N15/6756/12</f>
        <v>0.03686846260114466</v>
      </c>
      <c r="P15" s="38">
        <v>5000</v>
      </c>
      <c r="Q15" s="39">
        <f>P15/6756/12</f>
        <v>0.061673574106966646</v>
      </c>
    </row>
    <row r="16" spans="1:17" ht="12.75">
      <c r="A16" s="5"/>
      <c r="B16" s="16"/>
      <c r="C16" s="83"/>
      <c r="D16" s="83"/>
      <c r="E16" s="83"/>
      <c r="F16" s="83"/>
      <c r="G16" s="83"/>
      <c r="H16" s="83"/>
      <c r="I16" s="83"/>
      <c r="J16" s="83"/>
      <c r="K16" s="84"/>
      <c r="L16" s="83"/>
      <c r="M16" s="85"/>
      <c r="N16" s="18"/>
      <c r="O16" s="31"/>
      <c r="P16" s="38"/>
      <c r="Q16" s="39"/>
    </row>
    <row r="17" spans="1:17" ht="12.75">
      <c r="A17" s="5" t="s">
        <v>20</v>
      </c>
      <c r="B17" s="16">
        <v>69.14</v>
      </c>
      <c r="C17" s="83">
        <v>98.96</v>
      </c>
      <c r="D17" s="83">
        <v>119.39</v>
      </c>
      <c r="E17" s="83">
        <v>1470.14</v>
      </c>
      <c r="F17" s="83">
        <v>68.55</v>
      </c>
      <c r="G17" s="83">
        <v>103.29</v>
      </c>
      <c r="H17" s="83">
        <v>146.92</v>
      </c>
      <c r="I17" s="83">
        <v>119.82</v>
      </c>
      <c r="J17" s="83">
        <v>255.77</v>
      </c>
      <c r="K17" s="84">
        <v>15.99</v>
      </c>
      <c r="L17" s="83">
        <v>69.56</v>
      </c>
      <c r="M17" s="85">
        <v>200.22</v>
      </c>
      <c r="N17" s="18">
        <f>SUM(B17:M17)</f>
        <v>2737.7499999999995</v>
      </c>
      <c r="O17" s="31">
        <f>N17/6756/12</f>
        <v>0.03376936550226958</v>
      </c>
      <c r="P17" s="38">
        <v>3000</v>
      </c>
      <c r="Q17" s="39">
        <f>P17/6756/12</f>
        <v>0.03700414446417999</v>
      </c>
    </row>
    <row r="18" spans="1:17" ht="12.75">
      <c r="A18" s="5"/>
      <c r="B18" s="16"/>
      <c r="C18" s="83"/>
      <c r="D18" s="83"/>
      <c r="E18" s="83"/>
      <c r="F18" s="83"/>
      <c r="G18" s="83"/>
      <c r="H18" s="83"/>
      <c r="I18" s="83"/>
      <c r="J18" s="83"/>
      <c r="K18" s="84"/>
      <c r="L18" s="83"/>
      <c r="M18" s="85"/>
      <c r="N18" s="18"/>
      <c r="O18" s="31"/>
      <c r="P18" s="38"/>
      <c r="Q18" s="39"/>
    </row>
    <row r="19" spans="1:17" ht="12.75">
      <c r="A19" s="5" t="s">
        <v>21</v>
      </c>
      <c r="B19" s="16">
        <v>493</v>
      </c>
      <c r="C19" s="83">
        <v>487</v>
      </c>
      <c r="D19" s="83">
        <v>487</v>
      </c>
      <c r="E19" s="83">
        <v>482</v>
      </c>
      <c r="F19" s="83">
        <v>477</v>
      </c>
      <c r="G19" s="83">
        <v>477</v>
      </c>
      <c r="H19" s="83">
        <v>477</v>
      </c>
      <c r="I19" s="83">
        <v>477</v>
      </c>
      <c r="J19" s="83">
        <v>478</v>
      </c>
      <c r="K19" s="84">
        <v>477</v>
      </c>
      <c r="L19" s="83">
        <v>477</v>
      </c>
      <c r="M19" s="85">
        <v>464</v>
      </c>
      <c r="N19" s="18">
        <f>SUM(B19:M19)</f>
        <v>5753</v>
      </c>
      <c r="O19" s="31">
        <f>N19/6756/12</f>
        <v>0.07096161436747582</v>
      </c>
      <c r="P19" s="38">
        <v>5850</v>
      </c>
      <c r="Q19" s="39">
        <f>P19/6000/12</f>
        <v>0.08125</v>
      </c>
    </row>
    <row r="20" spans="1:17" ht="12.75">
      <c r="A20" s="5"/>
      <c r="B20" s="16"/>
      <c r="C20" s="83"/>
      <c r="D20" s="83"/>
      <c r="E20" s="83"/>
      <c r="F20" s="83"/>
      <c r="G20" s="83"/>
      <c r="H20" s="83"/>
      <c r="I20" s="83"/>
      <c r="J20" s="83"/>
      <c r="K20" s="84"/>
      <c r="L20" s="83"/>
      <c r="M20" s="85"/>
      <c r="N20" s="18"/>
      <c r="O20" s="31"/>
      <c r="P20" s="38"/>
      <c r="Q20" s="39"/>
    </row>
    <row r="21" spans="1:17" ht="12.75">
      <c r="A21" s="5" t="s">
        <v>22</v>
      </c>
      <c r="B21" s="16"/>
      <c r="C21" s="83"/>
      <c r="D21" s="83">
        <v>10770.58</v>
      </c>
      <c r="E21" s="83"/>
      <c r="F21" s="83"/>
      <c r="G21" s="83"/>
      <c r="H21" s="83"/>
      <c r="I21" s="83"/>
      <c r="J21" s="83"/>
      <c r="K21" s="84"/>
      <c r="L21" s="83"/>
      <c r="M21" s="85"/>
      <c r="N21" s="18">
        <f>SUM(B21:M21)</f>
        <v>10770.58</v>
      </c>
      <c r="O21" s="31">
        <f>N21/6756/12</f>
        <v>0.13285203276100258</v>
      </c>
      <c r="P21" s="38">
        <v>10256</v>
      </c>
      <c r="Q21" s="39">
        <f>P21/6000/12</f>
        <v>0.14244444444444446</v>
      </c>
    </row>
    <row r="22" spans="1:17" ht="12.75">
      <c r="A22" s="5"/>
      <c r="B22" s="16"/>
      <c r="C22" s="83"/>
      <c r="D22" s="83"/>
      <c r="E22" s="83"/>
      <c r="F22" s="83"/>
      <c r="G22" s="83"/>
      <c r="H22" s="83"/>
      <c r="I22" s="83"/>
      <c r="J22" s="83"/>
      <c r="K22" s="84"/>
      <c r="L22" s="83"/>
      <c r="M22" s="85"/>
      <c r="N22" s="18"/>
      <c r="O22" s="31"/>
      <c r="P22" s="38"/>
      <c r="Q22" s="39"/>
    </row>
    <row r="23" spans="1:17" ht="12.75">
      <c r="A23" s="5" t="s">
        <v>23</v>
      </c>
      <c r="B23" s="16"/>
      <c r="C23" s="83">
        <v>1312</v>
      </c>
      <c r="D23" s="83"/>
      <c r="E23" s="83"/>
      <c r="F23" s="83"/>
      <c r="G23" s="83"/>
      <c r="H23" s="83"/>
      <c r="I23" s="83">
        <v>1311</v>
      </c>
      <c r="J23" s="83"/>
      <c r="K23" s="84"/>
      <c r="L23" s="83"/>
      <c r="M23" s="85"/>
      <c r="N23" s="18">
        <f>SUM(B23:M23)</f>
        <v>2623</v>
      </c>
      <c r="O23" s="31">
        <f>N23/6756/12</f>
        <v>0.0323539569765147</v>
      </c>
      <c r="P23" s="38">
        <v>3900</v>
      </c>
      <c r="Q23" s="39">
        <f>P23/6756/12</f>
        <v>0.048105387803433985</v>
      </c>
    </row>
    <row r="24" spans="1:17" ht="12.75">
      <c r="A24" s="5"/>
      <c r="B24" s="16"/>
      <c r="C24" s="83"/>
      <c r="D24" s="83"/>
      <c r="E24" s="83"/>
      <c r="F24" s="83"/>
      <c r="G24" s="83"/>
      <c r="H24" s="83"/>
      <c r="I24" s="83"/>
      <c r="J24" s="83"/>
      <c r="K24" s="84"/>
      <c r="L24" s="83"/>
      <c r="M24" s="85"/>
      <c r="N24" s="18"/>
      <c r="O24" s="31"/>
      <c r="P24" s="38"/>
      <c r="Q24" s="39"/>
    </row>
    <row r="25" spans="1:17" ht="12.75">
      <c r="A25" s="5" t="s">
        <v>51</v>
      </c>
      <c r="B25" s="16"/>
      <c r="C25" s="83"/>
      <c r="D25" s="83"/>
      <c r="E25" s="83"/>
      <c r="F25" s="83"/>
      <c r="G25" s="83"/>
      <c r="H25" s="83"/>
      <c r="I25" s="83"/>
      <c r="J25" s="83"/>
      <c r="K25" s="84"/>
      <c r="L25" s="83"/>
      <c r="M25" s="85"/>
      <c r="N25" s="18">
        <f>SUM(B25:M25)</f>
        <v>0</v>
      </c>
      <c r="O25" s="31">
        <f>N25/6756/12</f>
        <v>0</v>
      </c>
      <c r="P25" s="38">
        <v>0</v>
      </c>
      <c r="Q25" s="40">
        <f>P25/6756/12</f>
        <v>0</v>
      </c>
    </row>
    <row r="26" spans="1:17" ht="12.75">
      <c r="A26" s="5"/>
      <c r="B26" s="16"/>
      <c r="C26" s="83"/>
      <c r="D26" s="83"/>
      <c r="E26" s="83"/>
      <c r="F26" s="83"/>
      <c r="G26" s="83"/>
      <c r="H26" s="83"/>
      <c r="I26" s="83"/>
      <c r="J26" s="83"/>
      <c r="K26" s="84"/>
      <c r="L26" s="83"/>
      <c r="M26" s="85"/>
      <c r="N26" s="18"/>
      <c r="O26" s="31"/>
      <c r="P26" s="38"/>
      <c r="Q26" s="39"/>
    </row>
    <row r="27" spans="1:17" ht="12.75">
      <c r="A27" s="5" t="s">
        <v>25</v>
      </c>
      <c r="B27" s="16">
        <v>4291.43</v>
      </c>
      <c r="C27" s="83">
        <v>4239.07</v>
      </c>
      <c r="D27" s="83">
        <v>4168.02</v>
      </c>
      <c r="E27" s="83">
        <v>4282.54</v>
      </c>
      <c r="F27" s="83">
        <v>3790.67</v>
      </c>
      <c r="G27" s="83">
        <v>4685.75</v>
      </c>
      <c r="H27" s="83">
        <v>4270.39</v>
      </c>
      <c r="I27" s="83">
        <v>4108.85</v>
      </c>
      <c r="J27" s="83">
        <v>3953.21</v>
      </c>
      <c r="K27" s="84">
        <v>4401.58</v>
      </c>
      <c r="L27" s="83">
        <v>3709.1</v>
      </c>
      <c r="M27" s="85">
        <v>4874.96</v>
      </c>
      <c r="N27" s="18">
        <f>SUM(B27:M27)</f>
        <v>50775.57</v>
      </c>
      <c r="O27" s="107">
        <f>N27/6756/12</f>
        <v>0.6263021758436945</v>
      </c>
      <c r="P27" s="38">
        <v>53000</v>
      </c>
      <c r="Q27" s="39">
        <f>P27/6756/12</f>
        <v>0.6537398855338464</v>
      </c>
    </row>
    <row r="28" spans="1:17" ht="12.75">
      <c r="A28" s="5"/>
      <c r="B28" s="16"/>
      <c r="C28" s="83"/>
      <c r="D28" s="83"/>
      <c r="E28" s="83"/>
      <c r="F28" s="83"/>
      <c r="G28" s="83"/>
      <c r="H28" s="83"/>
      <c r="I28" s="83"/>
      <c r="J28" s="83"/>
      <c r="K28" s="84"/>
      <c r="L28" s="83"/>
      <c r="M28" s="85"/>
      <c r="N28" s="18"/>
      <c r="O28" s="31"/>
      <c r="P28" s="38"/>
      <c r="Q28" s="39"/>
    </row>
    <row r="29" spans="1:17" ht="12.75">
      <c r="A29" s="5" t="s">
        <v>52</v>
      </c>
      <c r="B29" s="16">
        <v>696.98</v>
      </c>
      <c r="C29" s="83">
        <v>612.21</v>
      </c>
      <c r="D29" s="83">
        <v>1330.2</v>
      </c>
      <c r="E29" s="83">
        <v>235.75</v>
      </c>
      <c r="F29" s="83">
        <v>1511.25</v>
      </c>
      <c r="G29" s="83">
        <v>1339.34</v>
      </c>
      <c r="H29" s="83">
        <v>1007.28</v>
      </c>
      <c r="I29" s="83">
        <v>432.97</v>
      </c>
      <c r="J29" s="83">
        <v>1115.26</v>
      </c>
      <c r="K29" s="84">
        <v>1236.54</v>
      </c>
      <c r="L29" s="83">
        <v>862.52</v>
      </c>
      <c r="M29" s="85">
        <v>757.76</v>
      </c>
      <c r="N29" s="18">
        <f>SUM(B29:M29)</f>
        <v>11138.06</v>
      </c>
      <c r="O29" s="41">
        <f>N29/6756/12</f>
        <v>0.13738479376356819</v>
      </c>
      <c r="P29" s="38">
        <v>12000</v>
      </c>
      <c r="Q29" s="40">
        <f>P29/6756/12</f>
        <v>0.14801657785671996</v>
      </c>
    </row>
    <row r="30" spans="1:17" ht="12.75">
      <c r="A30" s="5"/>
      <c r="B30" s="16"/>
      <c r="C30" s="83"/>
      <c r="D30" s="83"/>
      <c r="E30" s="83"/>
      <c r="F30" s="83"/>
      <c r="G30" s="83"/>
      <c r="H30" s="83"/>
      <c r="I30" s="83"/>
      <c r="J30" s="83"/>
      <c r="K30" s="84"/>
      <c r="L30" s="83"/>
      <c r="M30" s="85"/>
      <c r="N30" s="18"/>
      <c r="O30" s="31"/>
      <c r="P30" s="38"/>
      <c r="Q30" s="39"/>
    </row>
    <row r="31" spans="1:17" ht="12.75">
      <c r="A31" s="5" t="s">
        <v>53</v>
      </c>
      <c r="B31" s="16">
        <v>417.01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5"/>
      <c r="N31" s="18">
        <f>SUM(B31:M31)</f>
        <v>417.01</v>
      </c>
      <c r="O31" s="31">
        <f>N31/6756/12</f>
        <v>0.005143699427669232</v>
      </c>
      <c r="P31" s="38">
        <v>-2800</v>
      </c>
      <c r="Q31" s="39">
        <f>P31/6756/12</f>
        <v>-0.034537201499901325</v>
      </c>
    </row>
    <row r="32" spans="1:17" ht="12.75">
      <c r="A32" s="5"/>
      <c r="B32" s="13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15"/>
      <c r="O32" s="31"/>
      <c r="P32" s="42"/>
      <c r="Q32" s="43"/>
    </row>
    <row r="33" spans="1:17" ht="12.75">
      <c r="A33" s="20"/>
      <c r="B33" s="2"/>
      <c r="C33" s="2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4"/>
      <c r="O33" s="28"/>
      <c r="P33" s="44"/>
      <c r="Q33" s="33"/>
    </row>
    <row r="34" spans="1:17" ht="12.75">
      <c r="A34" s="22"/>
      <c r="B34" s="16">
        <f>SUM(B7:B31)</f>
        <v>10014.17</v>
      </c>
      <c r="C34" s="16">
        <f>SUM(C7:C31)</f>
        <v>9801.14</v>
      </c>
      <c r="D34" s="83">
        <f>SUM(D7:D31)</f>
        <v>19258.52</v>
      </c>
      <c r="E34" s="83">
        <f>SUM(E7:E31)</f>
        <v>8266.029999999999</v>
      </c>
      <c r="F34" s="83">
        <f>SUM(F7:F31)</f>
        <v>9962.23</v>
      </c>
      <c r="G34" s="83">
        <f>SUM(G7:G31)</f>
        <v>8327.28</v>
      </c>
      <c r="H34" s="83">
        <f>SUM(H7:H31)</f>
        <v>8623.34</v>
      </c>
      <c r="I34" s="83">
        <f>SUM(I7:I31)</f>
        <v>10757.08</v>
      </c>
      <c r="J34" s="83">
        <f>SUM(J7:J31)</f>
        <v>8292.07</v>
      </c>
      <c r="K34" s="83">
        <f>SUM(K7:K31)</f>
        <v>8011.11</v>
      </c>
      <c r="L34" s="83">
        <f>SUM(L7:L31)</f>
        <v>7956.530000000001</v>
      </c>
      <c r="M34" s="90">
        <f>SUM(M7:M31)</f>
        <v>9855.94</v>
      </c>
      <c r="N34" s="18">
        <f>SUM(N7:N31)</f>
        <v>119125.44</v>
      </c>
      <c r="O34" s="18">
        <f>SUM(O7:O31)</f>
        <v>1.4693783303730017</v>
      </c>
      <c r="P34" s="44">
        <f>SUM(P7:P31)</f>
        <v>129206</v>
      </c>
      <c r="Q34" s="45">
        <f>SUM(Q7:Q31)</f>
        <v>1.61875069074403</v>
      </c>
    </row>
    <row r="35" spans="1:17" ht="12.75">
      <c r="A35" s="24"/>
      <c r="B35" s="10"/>
      <c r="C35" s="10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12"/>
      <c r="O35" s="34"/>
      <c r="P35" s="46"/>
      <c r="Q35" s="43"/>
    </row>
    <row r="36" spans="1:17" ht="12.75">
      <c r="A36" s="47" t="s">
        <v>53</v>
      </c>
      <c r="B36" s="2">
        <v>-40.43</v>
      </c>
      <c r="C36" s="2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48"/>
      <c r="O36" s="49"/>
      <c r="P36" s="50"/>
      <c r="Q36" s="51"/>
    </row>
    <row r="37" spans="1:17" ht="12.75">
      <c r="A37" s="5" t="s">
        <v>54</v>
      </c>
      <c r="B37" s="16">
        <f>(B34-B19-B21-B25-B31)/6756*433</f>
        <v>583.4963410301954</v>
      </c>
      <c r="C37" s="16">
        <f>(C34-C19-C21-C25-C31)/6756*503</f>
        <v>693.4595056246299</v>
      </c>
      <c r="D37" s="83">
        <f>(D34-D19-D21-D25-D31)/6756*503</f>
        <v>595.6886944937834</v>
      </c>
      <c r="E37" s="83">
        <f>(E34-E19-E21-E25-E31)/6756*566</f>
        <v>652.1256631142687</v>
      </c>
      <c r="F37" s="83">
        <f>(F34-F19-F21-F25-F31)/6756*629</f>
        <v>883.0979381290704</v>
      </c>
      <c r="G37" s="83">
        <f>(G34-G19-G21-G25-G31)/6756*629</f>
        <v>730.8801243339254</v>
      </c>
      <c r="H37" s="83">
        <f>(H34-H19-H21-H25-H31)/6756*629</f>
        <v>758.4440290112493</v>
      </c>
      <c r="I37" s="83">
        <f>(I34-I19-I21-I25-I31)/6756*629</f>
        <v>957.1004026050919</v>
      </c>
      <c r="J37" s="83">
        <f>(J34-J19-J21-J25-J31)/6756*629</f>
        <v>727.5088854351687</v>
      </c>
      <c r="K37" s="83">
        <f>(K34-K19-K21-K25-K31)/6756*629</f>
        <v>701.4439298401421</v>
      </c>
      <c r="L37" s="83">
        <f>(L34-L19-L21-L25-L31)/6756*692</f>
        <v>766.1093487270575</v>
      </c>
      <c r="M37" s="83">
        <f>(M34-M19-M21-M25-M31)/6756*755</f>
        <v>1049.57292776791</v>
      </c>
      <c r="N37" s="18">
        <f>SUM(B37:M38)</f>
        <v>9098.927790112493</v>
      </c>
      <c r="O37" s="52">
        <f>O34-O19-O21</f>
        <v>1.2655646832445233</v>
      </c>
      <c r="P37" s="53">
        <f>P34-P19-P21-P25</f>
        <v>113100</v>
      </c>
      <c r="Q37" s="52">
        <f>Q34-Q19-Q21-Q25</f>
        <v>1.3950562462995857</v>
      </c>
    </row>
    <row r="38" spans="1:17" ht="12.75">
      <c r="A38" s="9" t="s">
        <v>80</v>
      </c>
      <c r="B38" s="10"/>
      <c r="C38" s="1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12"/>
      <c r="O38" s="54"/>
      <c r="P38" s="55"/>
      <c r="Q38" s="56"/>
    </row>
    <row r="39" spans="4:13" ht="12.75"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7" ht="12.75">
      <c r="A40" t="s">
        <v>55</v>
      </c>
      <c r="B40">
        <v>433</v>
      </c>
      <c r="C40">
        <v>503</v>
      </c>
      <c r="D40" s="94">
        <v>503</v>
      </c>
      <c r="E40" s="94">
        <v>566</v>
      </c>
      <c r="F40" s="94">
        <v>629</v>
      </c>
      <c r="G40" s="94">
        <v>629</v>
      </c>
      <c r="H40" s="94">
        <v>629</v>
      </c>
      <c r="I40" s="94">
        <v>629</v>
      </c>
      <c r="J40" s="95">
        <v>629</v>
      </c>
      <c r="K40" s="95">
        <v>629</v>
      </c>
      <c r="L40" s="95">
        <v>692</v>
      </c>
      <c r="M40" s="95">
        <v>755</v>
      </c>
      <c r="P40" s="58"/>
      <c r="Q40" s="59"/>
    </row>
    <row r="41" spans="4:13" ht="12.75"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4:13" ht="12.75"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t="s">
        <v>56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t="s">
        <v>57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4:13" ht="12.75"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 ht="12.75">
      <c r="B46" s="108"/>
      <c r="D46" s="94"/>
      <c r="E46" s="94"/>
      <c r="F46" s="94"/>
      <c r="G46" s="94"/>
      <c r="H46" s="94"/>
      <c r="I46" s="94"/>
      <c r="J46" s="94"/>
      <c r="K46" s="94"/>
      <c r="L46" s="94"/>
      <c r="M46" s="26" t="s">
        <v>90</v>
      </c>
    </row>
    <row r="47" spans="1:18" ht="12.75">
      <c r="A47" s="71">
        <v>2011</v>
      </c>
      <c r="B47" s="108" t="s">
        <v>27</v>
      </c>
      <c r="D47" s="94"/>
      <c r="E47" s="94"/>
      <c r="F47" s="94"/>
      <c r="G47" s="94"/>
      <c r="H47" s="94"/>
      <c r="I47" s="94"/>
      <c r="J47" s="94"/>
      <c r="K47" s="94"/>
      <c r="L47" s="94"/>
      <c r="M47" s="27" t="s">
        <v>89</v>
      </c>
      <c r="R47" s="97" t="s">
        <v>78</v>
      </c>
    </row>
    <row r="48" spans="1:17" ht="12.75">
      <c r="A48" s="2"/>
      <c r="B48" s="2"/>
      <c r="C48" s="2"/>
      <c r="D48" s="88"/>
      <c r="E48" s="88"/>
      <c r="F48" s="88"/>
      <c r="G48" s="88"/>
      <c r="H48" s="88"/>
      <c r="I48" s="88"/>
      <c r="J48" s="88"/>
      <c r="K48" s="88"/>
      <c r="L48" s="88"/>
      <c r="M48" s="98"/>
      <c r="N48" s="4"/>
      <c r="O48" s="28"/>
      <c r="P48" s="29" t="s">
        <v>79</v>
      </c>
      <c r="Q48" s="30"/>
    </row>
    <row r="49" spans="1:17" ht="12.75">
      <c r="A49" s="5" t="s">
        <v>1</v>
      </c>
      <c r="B49" s="6" t="s">
        <v>2</v>
      </c>
      <c r="C49" s="6" t="s">
        <v>3</v>
      </c>
      <c r="D49" s="99" t="s">
        <v>4</v>
      </c>
      <c r="E49" s="99" t="s">
        <v>5</v>
      </c>
      <c r="F49" s="99" t="s">
        <v>6</v>
      </c>
      <c r="G49" s="99" t="s">
        <v>7</v>
      </c>
      <c r="H49" s="99" t="s">
        <v>8</v>
      </c>
      <c r="I49" s="99" t="s">
        <v>9</v>
      </c>
      <c r="J49" s="99" t="s">
        <v>10</v>
      </c>
      <c r="K49" s="99" t="s">
        <v>11</v>
      </c>
      <c r="L49" s="99" t="s">
        <v>12</v>
      </c>
      <c r="M49" s="100" t="s">
        <v>13</v>
      </c>
      <c r="N49" s="8" t="s">
        <v>14</v>
      </c>
      <c r="O49" s="31" t="s">
        <v>47</v>
      </c>
      <c r="P49" s="32"/>
      <c r="Q49" s="33" t="s">
        <v>47</v>
      </c>
    </row>
    <row r="50" spans="1:17" ht="12.75">
      <c r="A50" s="9"/>
      <c r="B50" s="10"/>
      <c r="C50" s="10"/>
      <c r="D50" s="91"/>
      <c r="E50" s="91"/>
      <c r="F50" s="91"/>
      <c r="G50" s="91"/>
      <c r="H50" s="91"/>
      <c r="I50" s="91"/>
      <c r="J50" s="91"/>
      <c r="K50" s="91"/>
      <c r="L50" s="91"/>
      <c r="M50" s="101"/>
      <c r="N50" s="12"/>
      <c r="O50" s="34"/>
      <c r="P50" s="32" t="s">
        <v>48</v>
      </c>
      <c r="Q50" s="35" t="s">
        <v>49</v>
      </c>
    </row>
    <row r="51" spans="1:17" ht="12.75">
      <c r="A51" s="5"/>
      <c r="B51" s="13"/>
      <c r="C51" s="13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15"/>
      <c r="O51" s="31"/>
      <c r="P51" s="36"/>
      <c r="Q51" s="37"/>
    </row>
    <row r="52" spans="1:17" ht="12.75">
      <c r="A52" s="5" t="s">
        <v>15</v>
      </c>
      <c r="B52" s="16">
        <v>1115</v>
      </c>
      <c r="C52" s="16">
        <v>2093</v>
      </c>
      <c r="D52" s="83">
        <v>978</v>
      </c>
      <c r="E52" s="83">
        <v>1076.1</v>
      </c>
      <c r="F52" s="83">
        <v>1100</v>
      </c>
      <c r="G52" s="83">
        <v>1096</v>
      </c>
      <c r="H52" s="83">
        <v>1096</v>
      </c>
      <c r="I52" s="83">
        <v>1096</v>
      </c>
      <c r="J52" s="83">
        <v>1096</v>
      </c>
      <c r="K52" s="83">
        <v>1100</v>
      </c>
      <c r="L52" s="83">
        <v>1150</v>
      </c>
      <c r="M52" s="83">
        <v>1150</v>
      </c>
      <c r="N52" s="18">
        <f>SUM(B52:M52)</f>
        <v>14146.1</v>
      </c>
      <c r="O52" s="41">
        <f>N52/3276.8/12</f>
        <v>0.35975392659505206</v>
      </c>
      <c r="P52" s="38">
        <v>13000</v>
      </c>
      <c r="Q52" s="45">
        <f>P52/3276.8/12</f>
        <v>0.3306070963541667</v>
      </c>
    </row>
    <row r="53" spans="1:17" ht="12.75">
      <c r="A53" s="19"/>
      <c r="B53" s="16"/>
      <c r="C53" s="16"/>
      <c r="D53" s="83"/>
      <c r="E53" s="83"/>
      <c r="F53" s="83"/>
      <c r="G53" s="83"/>
      <c r="H53" s="83"/>
      <c r="I53" s="83"/>
      <c r="J53" s="83"/>
      <c r="K53" s="83"/>
      <c r="L53" s="83"/>
      <c r="M53" s="85"/>
      <c r="N53" s="18"/>
      <c r="O53" s="41"/>
      <c r="P53" s="38"/>
      <c r="Q53" s="45"/>
    </row>
    <row r="54" spans="1:17" ht="12.75">
      <c r="A54" s="5" t="s">
        <v>16</v>
      </c>
      <c r="B54" s="16">
        <v>775.98</v>
      </c>
      <c r="C54" s="16"/>
      <c r="D54" s="83">
        <v>768.36</v>
      </c>
      <c r="E54" s="83"/>
      <c r="F54" s="83">
        <v>721.33</v>
      </c>
      <c r="G54" s="83"/>
      <c r="H54" s="83">
        <v>591</v>
      </c>
      <c r="I54" s="83"/>
      <c r="J54" s="83">
        <v>597.85</v>
      </c>
      <c r="K54" s="83"/>
      <c r="L54" s="83">
        <v>704.47</v>
      </c>
      <c r="M54" s="85"/>
      <c r="N54" s="18">
        <f>SUM(B54:M54)</f>
        <v>4158.99</v>
      </c>
      <c r="O54" s="41">
        <f>N54/3276.8/12</f>
        <v>0.1057685852050781</v>
      </c>
      <c r="P54" s="38">
        <v>4200</v>
      </c>
      <c r="Q54" s="45">
        <f>P54/3276.8/12</f>
        <v>0.1068115234375</v>
      </c>
    </row>
    <row r="55" spans="1:17" ht="12.75">
      <c r="A55" s="5"/>
      <c r="B55" s="16"/>
      <c r="C55" s="16"/>
      <c r="D55" s="83"/>
      <c r="E55" s="83"/>
      <c r="F55" s="83"/>
      <c r="G55" s="83"/>
      <c r="H55" s="83"/>
      <c r="I55" s="83"/>
      <c r="J55" s="83"/>
      <c r="K55" s="83"/>
      <c r="L55" s="83"/>
      <c r="M55" s="85"/>
      <c r="N55" s="18"/>
      <c r="O55" s="41"/>
      <c r="P55" s="38"/>
      <c r="Q55" s="45"/>
    </row>
    <row r="56" spans="1:17" ht="12.75">
      <c r="A56" s="5" t="s">
        <v>18</v>
      </c>
      <c r="B56" s="16">
        <v>704.3</v>
      </c>
      <c r="C56" s="16">
        <v>195.6</v>
      </c>
      <c r="D56" s="83">
        <v>195.7</v>
      </c>
      <c r="E56" s="83">
        <v>195.7</v>
      </c>
      <c r="F56" s="83">
        <v>196</v>
      </c>
      <c r="G56" s="83">
        <v>195.7</v>
      </c>
      <c r="H56" s="83">
        <v>195.6</v>
      </c>
      <c r="I56" s="83">
        <v>195.6</v>
      </c>
      <c r="J56" s="83">
        <v>290</v>
      </c>
      <c r="K56" s="83">
        <v>200</v>
      </c>
      <c r="L56" s="83">
        <v>250</v>
      </c>
      <c r="M56" s="85">
        <v>195</v>
      </c>
      <c r="N56" s="18">
        <f>SUM(B56:M56)</f>
        <v>3009.2</v>
      </c>
      <c r="O56" s="41">
        <f>N56/3276.8/12</f>
        <v>0.07652791341145833</v>
      </c>
      <c r="P56" s="38">
        <v>4100</v>
      </c>
      <c r="Q56" s="45">
        <f>P56/3276.8/12</f>
        <v>0.10426839192708333</v>
      </c>
    </row>
    <row r="57" spans="1:17" ht="12.75">
      <c r="A57" s="5"/>
      <c r="B57" s="16"/>
      <c r="C57" s="16"/>
      <c r="D57" s="83"/>
      <c r="E57" s="83"/>
      <c r="F57" s="83"/>
      <c r="G57" s="83"/>
      <c r="H57" s="83"/>
      <c r="I57" s="83"/>
      <c r="J57" s="83"/>
      <c r="K57" s="83"/>
      <c r="L57" s="83"/>
      <c r="M57" s="85"/>
      <c r="N57" s="18"/>
      <c r="O57" s="41"/>
      <c r="P57" s="38"/>
      <c r="Q57" s="45"/>
    </row>
    <row r="58" spans="1:17" ht="12.75">
      <c r="A58" s="5" t="s">
        <v>19</v>
      </c>
      <c r="B58" s="16"/>
      <c r="C58" s="16"/>
      <c r="D58" s="83"/>
      <c r="E58" s="83"/>
      <c r="F58" s="83"/>
      <c r="G58" s="83"/>
      <c r="H58" s="83"/>
      <c r="I58" s="83"/>
      <c r="J58" s="83"/>
      <c r="K58" s="83"/>
      <c r="L58" s="83"/>
      <c r="M58" s="85">
        <v>1053</v>
      </c>
      <c r="N58" s="18">
        <f>SUM(B58:M58)</f>
        <v>1053</v>
      </c>
      <c r="O58" s="41">
        <f>N58/3276.8/12</f>
        <v>0.0267791748046875</v>
      </c>
      <c r="P58" s="38">
        <v>2300</v>
      </c>
      <c r="Q58" s="45">
        <f>P58/3276.8/12</f>
        <v>0.058492024739583336</v>
      </c>
    </row>
    <row r="59" spans="1:17" ht="12.75">
      <c r="A59" s="5"/>
      <c r="B59" s="16"/>
      <c r="C59" s="16"/>
      <c r="D59" s="83"/>
      <c r="E59" s="83"/>
      <c r="F59" s="83"/>
      <c r="G59" s="83"/>
      <c r="H59" s="83"/>
      <c r="I59" s="83"/>
      <c r="J59" s="83"/>
      <c r="K59" s="83"/>
      <c r="L59" s="83"/>
      <c r="M59" s="85"/>
      <c r="N59" s="18"/>
      <c r="O59" s="41"/>
      <c r="P59" s="38"/>
      <c r="Q59" s="45"/>
    </row>
    <row r="60" spans="1:17" ht="12.75">
      <c r="A60" s="5" t="s">
        <v>20</v>
      </c>
      <c r="B60" s="16"/>
      <c r="C60" s="16"/>
      <c r="D60" s="83">
        <v>178.01</v>
      </c>
      <c r="E60" s="83">
        <v>256.72</v>
      </c>
      <c r="F60" s="83">
        <v>51.41</v>
      </c>
      <c r="G60" s="83">
        <v>131.71</v>
      </c>
      <c r="H60" s="83">
        <v>476.81</v>
      </c>
      <c r="I60" s="83">
        <v>220</v>
      </c>
      <c r="J60" s="83"/>
      <c r="K60" s="83">
        <v>325.34</v>
      </c>
      <c r="L60" s="83"/>
      <c r="M60" s="85"/>
      <c r="N60" s="18">
        <f>SUM(B60:M60)</f>
        <v>1640</v>
      </c>
      <c r="O60" s="41">
        <f>N60/3276.8/12</f>
        <v>0.041707356770833336</v>
      </c>
      <c r="P60" s="38">
        <v>1400</v>
      </c>
      <c r="Q60" s="45">
        <f>P60/3276.8/12</f>
        <v>0.035603841145833336</v>
      </c>
    </row>
    <row r="61" spans="1:17" ht="12.75">
      <c r="A61" s="5"/>
      <c r="B61" s="16"/>
      <c r="C61" s="16"/>
      <c r="D61" s="83"/>
      <c r="E61" s="83"/>
      <c r="F61" s="83"/>
      <c r="G61" s="83"/>
      <c r="H61" s="83"/>
      <c r="I61" s="83"/>
      <c r="J61" s="83"/>
      <c r="K61" s="83"/>
      <c r="L61" s="83"/>
      <c r="M61" s="85"/>
      <c r="N61" s="18"/>
      <c r="O61" s="41"/>
      <c r="P61" s="38"/>
      <c r="Q61" s="45"/>
    </row>
    <row r="62" spans="1:17" ht="12.75">
      <c r="A62" s="5" t="s">
        <v>21</v>
      </c>
      <c r="B62" s="16">
        <v>217</v>
      </c>
      <c r="C62" s="16">
        <v>217</v>
      </c>
      <c r="D62" s="83">
        <v>217</v>
      </c>
      <c r="E62" s="83">
        <v>217</v>
      </c>
      <c r="F62" s="83">
        <v>217</v>
      </c>
      <c r="G62" s="83">
        <v>217</v>
      </c>
      <c r="H62" s="83">
        <v>217</v>
      </c>
      <c r="I62" s="83">
        <v>217</v>
      </c>
      <c r="J62" s="83">
        <v>217</v>
      </c>
      <c r="K62" s="83">
        <v>217</v>
      </c>
      <c r="L62" s="83">
        <v>217</v>
      </c>
      <c r="M62" s="85">
        <v>220</v>
      </c>
      <c r="N62" s="18">
        <f>SUM(B62:M62)</f>
        <v>2607</v>
      </c>
      <c r="O62" s="41">
        <f>N62/3276.8/12</f>
        <v>0.0662994384765625</v>
      </c>
      <c r="P62" s="38">
        <v>2700</v>
      </c>
      <c r="Q62" s="45">
        <f>P62/3276.8/12</f>
        <v>0.06866455078125</v>
      </c>
    </row>
    <row r="63" spans="1:17" ht="12.75">
      <c r="A63" s="5"/>
      <c r="B63" s="16"/>
      <c r="C63" s="16"/>
      <c r="D63" s="83"/>
      <c r="E63" s="83"/>
      <c r="F63" s="83"/>
      <c r="G63" s="83"/>
      <c r="H63" s="83"/>
      <c r="I63" s="83"/>
      <c r="J63" s="83"/>
      <c r="K63" s="83"/>
      <c r="L63" s="83"/>
      <c r="M63" s="85"/>
      <c r="N63" s="18"/>
      <c r="O63" s="41"/>
      <c r="P63" s="38"/>
      <c r="Q63" s="45"/>
    </row>
    <row r="64" spans="1:17" ht="12.75">
      <c r="A64" s="5" t="s">
        <v>23</v>
      </c>
      <c r="B64" s="16">
        <v>1253</v>
      </c>
      <c r="C64" s="16">
        <v>652</v>
      </c>
      <c r="D64" s="83"/>
      <c r="E64" s="83"/>
      <c r="F64" s="83"/>
      <c r="G64" s="83"/>
      <c r="H64" s="83">
        <v>1251</v>
      </c>
      <c r="I64" s="83">
        <v>651</v>
      </c>
      <c r="J64" s="83"/>
      <c r="K64" s="83"/>
      <c r="L64" s="83"/>
      <c r="M64" s="85"/>
      <c r="N64" s="18">
        <f>SUM(B64:M64)</f>
        <v>3807</v>
      </c>
      <c r="O64" s="41">
        <f>N64/3276.8/12</f>
        <v>0.0968170166015625</v>
      </c>
      <c r="P64" s="38">
        <v>3900</v>
      </c>
      <c r="Q64" s="45">
        <f>P64/3276.8/12</f>
        <v>0.09918212890625</v>
      </c>
    </row>
    <row r="65" spans="1:17" ht="12.75">
      <c r="A65" s="5"/>
      <c r="B65" s="16"/>
      <c r="C65" s="16"/>
      <c r="D65" s="83"/>
      <c r="E65" s="83"/>
      <c r="F65" s="83"/>
      <c r="G65" s="83"/>
      <c r="H65" s="83"/>
      <c r="I65" s="83"/>
      <c r="J65" s="83"/>
      <c r="K65" s="83"/>
      <c r="L65" s="83"/>
      <c r="M65" s="85"/>
      <c r="N65" s="18"/>
      <c r="O65" s="41"/>
      <c r="P65" s="38"/>
      <c r="Q65" s="45"/>
    </row>
    <row r="66" spans="1:17" ht="12.75">
      <c r="A66" s="5" t="s">
        <v>25</v>
      </c>
      <c r="B66" s="16">
        <v>2082.58</v>
      </c>
      <c r="C66" s="16">
        <v>2057.17</v>
      </c>
      <c r="D66" s="83">
        <v>2022.68</v>
      </c>
      <c r="E66" s="83">
        <v>2078.26</v>
      </c>
      <c r="F66" s="83">
        <v>1839.56</v>
      </c>
      <c r="G66" s="83">
        <v>2273.93</v>
      </c>
      <c r="H66" s="83">
        <v>2072.36</v>
      </c>
      <c r="I66" s="83">
        <v>1993.97</v>
      </c>
      <c r="J66" s="83">
        <v>1918.44</v>
      </c>
      <c r="K66" s="83">
        <v>2136.03</v>
      </c>
      <c r="L66" s="83">
        <v>1799.98</v>
      </c>
      <c r="M66" s="85">
        <v>2365.75</v>
      </c>
      <c r="N66" s="18">
        <f>SUM(B66:M66)</f>
        <v>24640.71</v>
      </c>
      <c r="O66" s="41">
        <f>N66/3276.8/12</f>
        <v>0.6266456604003906</v>
      </c>
      <c r="P66" s="38">
        <v>25500</v>
      </c>
      <c r="Q66" s="45">
        <f>P66/3276.8/12</f>
        <v>0.64849853515625</v>
      </c>
    </row>
    <row r="67" spans="1:17" ht="12.75">
      <c r="A67" s="5"/>
      <c r="B67" s="16"/>
      <c r="C67" s="16"/>
      <c r="D67" s="83"/>
      <c r="E67" s="83"/>
      <c r="F67" s="83"/>
      <c r="G67" s="83"/>
      <c r="H67" s="83"/>
      <c r="I67" s="83"/>
      <c r="J67" s="83"/>
      <c r="K67" s="83"/>
      <c r="L67" s="83"/>
      <c r="M67" s="85"/>
      <c r="N67" s="18"/>
      <c r="O67" s="41"/>
      <c r="P67" s="38"/>
      <c r="Q67" s="45"/>
    </row>
    <row r="68" spans="1:17" ht="12.75">
      <c r="A68" s="5" t="s">
        <v>59</v>
      </c>
      <c r="B68" s="16">
        <v>338.23</v>
      </c>
      <c r="C68" s="16">
        <v>297.1</v>
      </c>
      <c r="D68" s="83">
        <v>645.52</v>
      </c>
      <c r="E68" s="83">
        <v>114.41</v>
      </c>
      <c r="F68" s="83">
        <v>733.39</v>
      </c>
      <c r="G68" s="83">
        <v>649.47</v>
      </c>
      <c r="H68" s="83">
        <v>488.82</v>
      </c>
      <c r="I68" s="83">
        <v>210.12</v>
      </c>
      <c r="J68" s="83">
        <v>541.22</v>
      </c>
      <c r="K68" s="83">
        <v>600.07</v>
      </c>
      <c r="L68" s="83">
        <v>418.57</v>
      </c>
      <c r="M68" s="85">
        <v>367.73</v>
      </c>
      <c r="N68" s="18">
        <f>SUM(B68:M68)</f>
        <v>5404.65</v>
      </c>
      <c r="O68" s="41">
        <f>N68/3276.8/12</f>
        <v>0.13744735717773435</v>
      </c>
      <c r="P68" s="38">
        <v>6000</v>
      </c>
      <c r="Q68" s="45">
        <f>P68/3276.8/12</f>
        <v>0.152587890625</v>
      </c>
    </row>
    <row r="69" spans="1:17" ht="12.75">
      <c r="A69" s="5"/>
      <c r="B69" s="16"/>
      <c r="C69" s="16"/>
      <c r="D69" s="83"/>
      <c r="E69" s="83"/>
      <c r="F69" s="83"/>
      <c r="G69" s="83"/>
      <c r="H69" s="83"/>
      <c r="I69" s="83"/>
      <c r="J69" s="83"/>
      <c r="K69" s="83"/>
      <c r="L69" s="83"/>
      <c r="M69" s="85"/>
      <c r="N69" s="18"/>
      <c r="O69" s="41"/>
      <c r="P69" s="38"/>
      <c r="Q69" s="45"/>
    </row>
    <row r="70" spans="1:17" ht="12.75">
      <c r="A70" s="5" t="s">
        <v>60</v>
      </c>
      <c r="B70" s="16"/>
      <c r="C70" s="16">
        <v>72</v>
      </c>
      <c r="D70" s="83">
        <v>84</v>
      </c>
      <c r="E70" s="83">
        <v>828</v>
      </c>
      <c r="F70" s="83"/>
      <c r="G70" s="83"/>
      <c r="H70" s="83"/>
      <c r="I70" s="83"/>
      <c r="J70" s="83"/>
      <c r="K70" s="83"/>
      <c r="L70" s="83">
        <v>51</v>
      </c>
      <c r="M70" s="85"/>
      <c r="N70" s="18">
        <f>SUM(B70:M70)</f>
        <v>1035</v>
      </c>
      <c r="O70" s="41">
        <f>N70/3276.8/12</f>
        <v>0.0263214111328125</v>
      </c>
      <c r="P70" s="38">
        <v>2000</v>
      </c>
      <c r="Q70" s="45">
        <f>P70/3276.8/12</f>
        <v>0.050862630208333336</v>
      </c>
    </row>
    <row r="71" spans="1:17" ht="12.75">
      <c r="A71" s="5"/>
      <c r="B71" s="16"/>
      <c r="C71" s="16"/>
      <c r="D71" s="83"/>
      <c r="E71" s="83"/>
      <c r="F71" s="83"/>
      <c r="G71" s="83"/>
      <c r="H71" s="83"/>
      <c r="I71" s="83"/>
      <c r="J71" s="83"/>
      <c r="K71" s="83"/>
      <c r="L71" s="83"/>
      <c r="M71" s="85"/>
      <c r="N71" s="18"/>
      <c r="O71" s="41"/>
      <c r="P71" s="38"/>
      <c r="Q71" s="45"/>
    </row>
    <row r="72" spans="1:17" ht="12.75">
      <c r="A72" s="5" t="s">
        <v>53</v>
      </c>
      <c r="B72" s="16">
        <v>2812.75</v>
      </c>
      <c r="C72" s="16"/>
      <c r="D72" s="83"/>
      <c r="E72" s="83"/>
      <c r="F72" s="83"/>
      <c r="G72" s="83"/>
      <c r="H72" s="83"/>
      <c r="I72" s="83"/>
      <c r="J72" s="83"/>
      <c r="K72" s="83"/>
      <c r="L72" s="83"/>
      <c r="M72" s="85"/>
      <c r="N72" s="18">
        <f>SUM(B72:M72)</f>
        <v>2812.75</v>
      </c>
      <c r="O72" s="41">
        <f>N72/3276.8/12</f>
        <v>0.0715319315592448</v>
      </c>
      <c r="P72" s="38">
        <v>700</v>
      </c>
      <c r="Q72" s="45">
        <f>P72/3276.8/12</f>
        <v>0.017801920572916668</v>
      </c>
    </row>
    <row r="73" spans="1:17" ht="12.75">
      <c r="A73" s="5"/>
      <c r="B73" s="13"/>
      <c r="C73" s="13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18"/>
      <c r="O73" s="41"/>
      <c r="P73" s="61"/>
      <c r="Q73" s="62"/>
    </row>
    <row r="74" spans="1:17" ht="12.75">
      <c r="A74" s="20"/>
      <c r="B74" s="2"/>
      <c r="C74" s="2"/>
      <c r="D74" s="88"/>
      <c r="E74" s="88"/>
      <c r="F74" s="88"/>
      <c r="G74" s="88"/>
      <c r="H74" s="88"/>
      <c r="I74" s="88"/>
      <c r="J74" s="88"/>
      <c r="K74" s="88"/>
      <c r="L74" s="88"/>
      <c r="M74" s="89"/>
      <c r="N74" s="48"/>
      <c r="O74" s="63"/>
      <c r="P74" s="38"/>
      <c r="Q74" s="45"/>
    </row>
    <row r="75" spans="1:17" ht="12.75">
      <c r="A75" s="22"/>
      <c r="B75" s="16">
        <f>SUM(B52:B72)</f>
        <v>9298.84</v>
      </c>
      <c r="C75" s="16">
        <f>SUM(C52:C72)</f>
        <v>5583.87</v>
      </c>
      <c r="D75" s="83">
        <f>SUM(D52:D72)</f>
        <v>5089.27</v>
      </c>
      <c r="E75" s="83">
        <f>SUM(E52:E72)</f>
        <v>4766.1900000000005</v>
      </c>
      <c r="F75" s="83">
        <f>SUM(F52:F72)</f>
        <v>4858.6900000000005</v>
      </c>
      <c r="G75" s="83">
        <f>SUM(G52:G72)</f>
        <v>4563.8099999999995</v>
      </c>
      <c r="H75" s="83">
        <f>SUM(H52:H72)</f>
        <v>6388.59</v>
      </c>
      <c r="I75" s="83">
        <f>SUM(I52:I72)</f>
        <v>4583.69</v>
      </c>
      <c r="J75" s="83">
        <f>SUM(J52:J72)</f>
        <v>4660.51</v>
      </c>
      <c r="K75" s="83">
        <f>SUM(K52:K72)</f>
        <v>4578.4400000000005</v>
      </c>
      <c r="L75" s="83">
        <f>SUM(L52:L72)</f>
        <v>4591.02</v>
      </c>
      <c r="M75" s="90">
        <f>SUM(M52:M72)</f>
        <v>5351.48</v>
      </c>
      <c r="N75" s="18">
        <f>SUM(N52:N72)</f>
        <v>64314.399999999994</v>
      </c>
      <c r="O75" s="18">
        <f>SUM(O48:O72)</f>
        <v>1.6355997721354165</v>
      </c>
      <c r="P75" s="38">
        <f>SUM(P48:P72)</f>
        <v>65800</v>
      </c>
      <c r="Q75" s="45">
        <f>SUM(Q48:Q72)</f>
        <v>1.6733805338541667</v>
      </c>
    </row>
    <row r="76" spans="1:17" ht="12.75">
      <c r="A76" s="24"/>
      <c r="B76" s="10"/>
      <c r="C76" s="10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64"/>
      <c r="O76" s="65"/>
      <c r="P76" s="61"/>
      <c r="Q76" s="62"/>
    </row>
    <row r="77" spans="1:17" ht="12.75">
      <c r="A77" s="47"/>
      <c r="B77" s="2"/>
      <c r="C77" s="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48"/>
      <c r="O77" s="49"/>
      <c r="P77" s="50"/>
      <c r="Q77" s="51"/>
    </row>
    <row r="78" spans="1:17" ht="12.75">
      <c r="A78" s="5" t="s">
        <v>91</v>
      </c>
      <c r="B78" s="13"/>
      <c r="C78" s="13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18">
        <f>N75-N70</f>
        <v>63279.399999999994</v>
      </c>
      <c r="O78" s="52">
        <f>N78/3276.8/12</f>
        <v>1.6092783610026038</v>
      </c>
      <c r="P78" s="53">
        <f>P75-P62</f>
        <v>63100</v>
      </c>
      <c r="Q78" s="52">
        <f>P78/3276.8/12</f>
        <v>1.6047159830729167</v>
      </c>
    </row>
    <row r="79" spans="1:17" ht="12.75">
      <c r="A79" s="9"/>
      <c r="B79" s="10"/>
      <c r="C79" s="1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12"/>
      <c r="O79" s="54"/>
      <c r="P79" s="55"/>
      <c r="Q79" s="56"/>
    </row>
    <row r="80" spans="4:13" ht="12.75"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t="s">
        <v>62</v>
      </c>
      <c r="B81" t="s">
        <v>63</v>
      </c>
      <c r="C81" t="s">
        <v>62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66" t="s">
        <v>92</v>
      </c>
      <c r="B82" s="67">
        <v>1265.69</v>
      </c>
      <c r="C82" s="67">
        <v>-1445.11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ht="12.75">
      <c r="A83" s="66" t="s">
        <v>93</v>
      </c>
      <c r="B83" s="67">
        <f>1041.6*5.3*12</f>
        <v>66245.76</v>
      </c>
      <c r="C83" s="102">
        <f>2237*5.9*12</f>
        <v>158379.6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12.75">
      <c r="A84" s="66" t="s">
        <v>94</v>
      </c>
      <c r="B84" s="109">
        <v>63752.49</v>
      </c>
      <c r="C84" s="110">
        <v>152844.06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ht="12.75">
      <c r="A85" s="66" t="s">
        <v>67</v>
      </c>
      <c r="B85" s="109">
        <v>0</v>
      </c>
      <c r="C85" s="109">
        <v>0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ht="12.75">
      <c r="A86" s="66"/>
      <c r="B86" s="67">
        <f>B82+B83-B84-B85</f>
        <v>3758.959999999999</v>
      </c>
      <c r="C86" s="67">
        <f>C82+C83-C84-C85</f>
        <v>4090.430000000022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4:13" ht="12.75"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4:13" ht="12.75"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4:13" ht="12.75"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4:13" ht="12.75"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4:13" ht="12.75">
      <c r="D91" s="94"/>
      <c r="E91" s="94"/>
      <c r="F91" s="94"/>
      <c r="G91" s="94"/>
      <c r="H91" s="94"/>
      <c r="I91" s="94"/>
      <c r="J91" s="94"/>
      <c r="K91" s="94"/>
      <c r="L91" s="94"/>
      <c r="M91" s="26" t="s">
        <v>95</v>
      </c>
    </row>
    <row r="92" spans="1:18" ht="12.75">
      <c r="A92" s="71">
        <v>2011</v>
      </c>
      <c r="B92" s="108" t="s">
        <v>29</v>
      </c>
      <c r="D92" s="94"/>
      <c r="E92" s="94"/>
      <c r="F92" s="94"/>
      <c r="G92" s="94"/>
      <c r="H92" s="94"/>
      <c r="I92" s="94"/>
      <c r="J92" s="94"/>
      <c r="K92" s="94"/>
      <c r="L92" s="94"/>
      <c r="M92" s="27" t="s">
        <v>89</v>
      </c>
      <c r="R92" s="97" t="s">
        <v>78</v>
      </c>
    </row>
    <row r="93" spans="1:17" ht="12.75">
      <c r="A93" s="2"/>
      <c r="B93" s="2"/>
      <c r="C93" s="2"/>
      <c r="D93" s="88"/>
      <c r="E93" s="88"/>
      <c r="F93" s="88"/>
      <c r="G93" s="88"/>
      <c r="H93" s="88"/>
      <c r="I93" s="88"/>
      <c r="J93" s="88"/>
      <c r="K93" s="88"/>
      <c r="L93" s="88"/>
      <c r="M93" s="98"/>
      <c r="N93" s="4"/>
      <c r="O93" s="28"/>
      <c r="P93" s="29" t="s">
        <v>96</v>
      </c>
      <c r="Q93" s="30"/>
    </row>
    <row r="94" spans="1:17" ht="12.75">
      <c r="A94" s="5" t="s">
        <v>1</v>
      </c>
      <c r="B94" s="6" t="s">
        <v>2</v>
      </c>
      <c r="C94" s="6" t="s">
        <v>3</v>
      </c>
      <c r="D94" s="99" t="s">
        <v>4</v>
      </c>
      <c r="E94" s="99" t="s">
        <v>5</v>
      </c>
      <c r="F94" s="99" t="s">
        <v>6</v>
      </c>
      <c r="G94" s="99" t="s">
        <v>7</v>
      </c>
      <c r="H94" s="99" t="s">
        <v>8</v>
      </c>
      <c r="I94" s="99" t="s">
        <v>9</v>
      </c>
      <c r="J94" s="99" t="s">
        <v>10</v>
      </c>
      <c r="K94" s="99" t="s">
        <v>11</v>
      </c>
      <c r="L94" s="99" t="s">
        <v>12</v>
      </c>
      <c r="M94" s="100" t="s">
        <v>13</v>
      </c>
      <c r="N94" s="8" t="s">
        <v>14</v>
      </c>
      <c r="O94" s="31" t="s">
        <v>47</v>
      </c>
      <c r="P94" s="32"/>
      <c r="Q94" s="33" t="s">
        <v>47</v>
      </c>
    </row>
    <row r="95" spans="1:17" ht="12.75">
      <c r="A95" s="9"/>
      <c r="B95" s="10"/>
      <c r="C95" s="10"/>
      <c r="D95" s="91"/>
      <c r="E95" s="91"/>
      <c r="F95" s="91"/>
      <c r="G95" s="91"/>
      <c r="H95" s="91"/>
      <c r="I95" s="91"/>
      <c r="J95" s="91"/>
      <c r="K95" s="91"/>
      <c r="L95" s="91"/>
      <c r="M95" s="101"/>
      <c r="N95" s="12"/>
      <c r="O95" s="34"/>
      <c r="P95" s="32" t="s">
        <v>48</v>
      </c>
      <c r="Q95" s="35" t="s">
        <v>49</v>
      </c>
    </row>
    <row r="96" spans="1:17" ht="12.75">
      <c r="A96" s="5"/>
      <c r="B96" s="13"/>
      <c r="C96" s="13"/>
      <c r="D96" s="86"/>
      <c r="E96" s="86"/>
      <c r="F96" s="86"/>
      <c r="G96" s="86"/>
      <c r="H96" s="86"/>
      <c r="I96" s="86"/>
      <c r="J96" s="86"/>
      <c r="K96" s="86"/>
      <c r="L96" s="86"/>
      <c r="M96" s="87"/>
      <c r="N96" s="15"/>
      <c r="O96" s="31"/>
      <c r="P96" s="36"/>
      <c r="Q96" s="37"/>
    </row>
    <row r="97" spans="1:17" ht="12.75">
      <c r="A97" s="5" t="s">
        <v>15</v>
      </c>
      <c r="B97" s="16">
        <v>248</v>
      </c>
      <c r="C97" s="16">
        <v>466</v>
      </c>
      <c r="D97" s="83">
        <v>218</v>
      </c>
      <c r="E97" s="83">
        <v>239.1</v>
      </c>
      <c r="F97" s="83">
        <v>240</v>
      </c>
      <c r="G97" s="83">
        <v>243</v>
      </c>
      <c r="H97" s="83">
        <v>243</v>
      </c>
      <c r="I97" s="83">
        <v>243</v>
      </c>
      <c r="J97" s="83">
        <v>243</v>
      </c>
      <c r="K97" s="83">
        <v>300</v>
      </c>
      <c r="L97" s="83">
        <v>250</v>
      </c>
      <c r="M97" s="83">
        <v>250</v>
      </c>
      <c r="N97" s="18">
        <f>SUM(B97:M97)</f>
        <v>3183.1</v>
      </c>
      <c r="O97" s="41">
        <f>N97/622.8/12</f>
        <v>0.4259125454934704</v>
      </c>
      <c r="P97" s="38">
        <v>2900</v>
      </c>
      <c r="Q97" s="45">
        <f>P97/622.8/12</f>
        <v>0.388032541211732</v>
      </c>
    </row>
    <row r="98" spans="1:17" ht="12.75">
      <c r="A98" s="19"/>
      <c r="B98" s="16"/>
      <c r="C98" s="16"/>
      <c r="D98" s="83"/>
      <c r="E98" s="83"/>
      <c r="F98" s="83"/>
      <c r="G98" s="83"/>
      <c r="H98" s="83"/>
      <c r="I98" s="83"/>
      <c r="J98" s="83"/>
      <c r="K98" s="83"/>
      <c r="L98" s="83"/>
      <c r="M98" s="85"/>
      <c r="N98" s="18"/>
      <c r="O98" s="41"/>
      <c r="P98" s="38"/>
      <c r="Q98" s="45"/>
    </row>
    <row r="99" spans="1:17" ht="12.75">
      <c r="A99" s="5" t="s">
        <v>16</v>
      </c>
      <c r="B99" s="16">
        <v>59.03</v>
      </c>
      <c r="C99" s="16"/>
      <c r="D99" s="83">
        <v>54.12</v>
      </c>
      <c r="E99" s="83"/>
      <c r="F99" s="83">
        <v>45.65</v>
      </c>
      <c r="G99" s="83"/>
      <c r="H99" s="83">
        <v>37.23</v>
      </c>
      <c r="I99" s="83"/>
      <c r="J99" s="83">
        <v>45.14</v>
      </c>
      <c r="K99" s="83"/>
      <c r="L99" s="83">
        <v>45.67</v>
      </c>
      <c r="M99" s="85"/>
      <c r="N99" s="18">
        <f>SUM(B99:M99)</f>
        <v>286.84000000000003</v>
      </c>
      <c r="O99" s="41">
        <f>N99/622.8/12</f>
        <v>0.03838043245557697</v>
      </c>
      <c r="P99" s="38">
        <v>360</v>
      </c>
      <c r="Q99" s="45">
        <f>P99/622.8/12</f>
        <v>0.04816955684007707</v>
      </c>
    </row>
    <row r="100" spans="1:17" ht="12.75">
      <c r="A100" s="5"/>
      <c r="B100" s="16"/>
      <c r="C100" s="16"/>
      <c r="D100" s="83"/>
      <c r="E100" s="83"/>
      <c r="F100" s="83"/>
      <c r="G100" s="83"/>
      <c r="H100" s="83"/>
      <c r="I100" s="83"/>
      <c r="J100" s="83"/>
      <c r="K100" s="83"/>
      <c r="L100" s="83"/>
      <c r="M100" s="85"/>
      <c r="N100" s="18"/>
      <c r="O100" s="41"/>
      <c r="P100" s="38"/>
      <c r="Q100" s="45"/>
    </row>
    <row r="101" spans="1:17" ht="12.75">
      <c r="A101" s="5" t="s">
        <v>18</v>
      </c>
      <c r="B101" s="16">
        <v>156.5</v>
      </c>
      <c r="C101" s="16">
        <v>43.5</v>
      </c>
      <c r="D101" s="83">
        <v>43.5</v>
      </c>
      <c r="E101" s="83">
        <v>43.5</v>
      </c>
      <c r="F101" s="83">
        <v>44</v>
      </c>
      <c r="G101" s="83">
        <v>43.4</v>
      </c>
      <c r="H101" s="83">
        <v>43.5</v>
      </c>
      <c r="I101" s="83">
        <v>43.5</v>
      </c>
      <c r="J101" s="83">
        <v>70</v>
      </c>
      <c r="K101" s="83">
        <v>50</v>
      </c>
      <c r="L101" s="83">
        <v>50</v>
      </c>
      <c r="M101" s="83">
        <v>45</v>
      </c>
      <c r="N101" s="18">
        <f>SUM(B101:M101)</f>
        <v>676.4</v>
      </c>
      <c r="O101" s="41">
        <f>N101/622.8/12</f>
        <v>0.09050524512952259</v>
      </c>
      <c r="P101" s="38">
        <v>1000</v>
      </c>
      <c r="Q101" s="45">
        <f>P101/622.8/12</f>
        <v>0.13380432455576965</v>
      </c>
    </row>
    <row r="102" spans="1:17" ht="12.75">
      <c r="A102" s="5"/>
      <c r="B102" s="16"/>
      <c r="C102" s="16"/>
      <c r="D102" s="83"/>
      <c r="E102" s="83"/>
      <c r="F102" s="83"/>
      <c r="G102" s="83"/>
      <c r="H102" s="83"/>
      <c r="I102" s="83"/>
      <c r="J102" s="83"/>
      <c r="K102" s="83"/>
      <c r="L102" s="83"/>
      <c r="M102" s="85"/>
      <c r="N102" s="18"/>
      <c r="O102" s="41"/>
      <c r="P102" s="38"/>
      <c r="Q102" s="45"/>
    </row>
    <row r="103" spans="1:17" ht="12.75">
      <c r="A103" s="5" t="s">
        <v>19</v>
      </c>
      <c r="B103" s="16"/>
      <c r="C103" s="16"/>
      <c r="D103" s="83"/>
      <c r="E103" s="83"/>
      <c r="F103" s="83"/>
      <c r="G103" s="83"/>
      <c r="H103" s="83"/>
      <c r="I103" s="83"/>
      <c r="J103" s="83"/>
      <c r="K103" s="83"/>
      <c r="L103" s="83"/>
      <c r="M103" s="85">
        <v>194.4</v>
      </c>
      <c r="N103" s="18">
        <f>SUM(B103:M103)</f>
        <v>194.4</v>
      </c>
      <c r="O103" s="41">
        <f>N103/622.8/12</f>
        <v>0.02601156069364162</v>
      </c>
      <c r="P103" s="38">
        <v>430</v>
      </c>
      <c r="Q103" s="45">
        <f>P103/622.8/12</f>
        <v>0.05753585955898095</v>
      </c>
    </row>
    <row r="104" spans="1:17" ht="12.75">
      <c r="A104" s="5"/>
      <c r="B104" s="16"/>
      <c r="C104" s="16"/>
      <c r="D104" s="83"/>
      <c r="E104" s="83"/>
      <c r="F104" s="83"/>
      <c r="G104" s="83"/>
      <c r="H104" s="83"/>
      <c r="I104" s="83"/>
      <c r="J104" s="83"/>
      <c r="K104" s="83"/>
      <c r="L104" s="83"/>
      <c r="M104" s="85"/>
      <c r="N104" s="18"/>
      <c r="O104" s="41"/>
      <c r="P104" s="38"/>
      <c r="Q104" s="45"/>
    </row>
    <row r="105" spans="1:17" ht="12.75">
      <c r="A105" s="5" t="s">
        <v>20</v>
      </c>
      <c r="B105" s="16"/>
      <c r="C105" s="16"/>
      <c r="D105" s="83">
        <v>38.54</v>
      </c>
      <c r="E105" s="83"/>
      <c r="F105" s="83">
        <v>11.42</v>
      </c>
      <c r="G105" s="83"/>
      <c r="H105" s="83"/>
      <c r="I105" s="83">
        <v>63.96</v>
      </c>
      <c r="J105" s="83"/>
      <c r="K105" s="83"/>
      <c r="L105" s="83"/>
      <c r="M105" s="85"/>
      <c r="N105" s="18">
        <f>SUM(B105:M105)</f>
        <v>113.91999999999999</v>
      </c>
      <c r="O105" s="41">
        <f>N105/622.8/12</f>
        <v>0.015242988653393276</v>
      </c>
      <c r="P105" s="38"/>
      <c r="Q105" s="45">
        <f>P105/622.8/12</f>
        <v>0</v>
      </c>
    </row>
    <row r="106" spans="1:17" ht="12.75">
      <c r="A106" s="5"/>
      <c r="B106" s="16"/>
      <c r="C106" s="16"/>
      <c r="D106" s="83"/>
      <c r="E106" s="83"/>
      <c r="F106" s="83"/>
      <c r="G106" s="83"/>
      <c r="H106" s="83"/>
      <c r="I106" s="83"/>
      <c r="J106" s="83"/>
      <c r="K106" s="83"/>
      <c r="L106" s="83"/>
      <c r="M106" s="85"/>
      <c r="N106" s="18"/>
      <c r="O106" s="41"/>
      <c r="P106" s="38"/>
      <c r="Q106" s="45"/>
    </row>
    <row r="107" spans="1:17" ht="12.75">
      <c r="A107" s="5" t="s">
        <v>21</v>
      </c>
      <c r="B107" s="16">
        <v>32</v>
      </c>
      <c r="C107" s="16">
        <v>32</v>
      </c>
      <c r="D107" s="83">
        <v>32</v>
      </c>
      <c r="E107" s="83">
        <v>32</v>
      </c>
      <c r="F107" s="83">
        <v>32</v>
      </c>
      <c r="G107" s="83">
        <v>32</v>
      </c>
      <c r="H107" s="83">
        <v>32</v>
      </c>
      <c r="I107" s="83">
        <v>32</v>
      </c>
      <c r="J107" s="83">
        <v>31</v>
      </c>
      <c r="K107" s="83">
        <v>31</v>
      </c>
      <c r="L107" s="83">
        <v>31</v>
      </c>
      <c r="M107" s="83">
        <v>31</v>
      </c>
      <c r="N107" s="18">
        <f>SUM(B107:M107)</f>
        <v>380</v>
      </c>
      <c r="O107" s="41">
        <f>N107/622.8/12</f>
        <v>0.050845643331192465</v>
      </c>
      <c r="P107" s="38">
        <v>395</v>
      </c>
      <c r="Q107" s="45">
        <f>P107/395.2/12</f>
        <v>0.08329116059379217</v>
      </c>
    </row>
    <row r="108" spans="1:17" ht="12.75">
      <c r="A108" s="5"/>
      <c r="B108" s="16"/>
      <c r="C108" s="16"/>
      <c r="D108" s="83"/>
      <c r="E108" s="83"/>
      <c r="F108" s="83"/>
      <c r="G108" s="83"/>
      <c r="H108" s="83"/>
      <c r="I108" s="83"/>
      <c r="J108" s="83"/>
      <c r="K108" s="83"/>
      <c r="L108" s="83"/>
      <c r="M108" s="85"/>
      <c r="N108" s="18"/>
      <c r="O108" s="41"/>
      <c r="P108" s="38"/>
      <c r="Q108" s="45"/>
    </row>
    <row r="109" spans="1:17" ht="12.75">
      <c r="A109" s="5" t="s">
        <v>23</v>
      </c>
      <c r="B109" s="16"/>
      <c r="C109" s="16">
        <v>411</v>
      </c>
      <c r="D109" s="83"/>
      <c r="E109" s="83"/>
      <c r="F109" s="83"/>
      <c r="G109" s="83"/>
      <c r="H109" s="83"/>
      <c r="I109" s="83">
        <v>411</v>
      </c>
      <c r="J109" s="83"/>
      <c r="K109" s="83"/>
      <c r="L109" s="83"/>
      <c r="M109" s="85"/>
      <c r="N109" s="18">
        <f>SUM(B109:M109)</f>
        <v>822</v>
      </c>
      <c r="O109" s="41">
        <f>N109/622.8/12</f>
        <v>0.10998715478484265</v>
      </c>
      <c r="P109" s="38">
        <v>840</v>
      </c>
      <c r="Q109" s="45">
        <f>P109/622.8/12</f>
        <v>0.1123956326268465</v>
      </c>
    </row>
    <row r="110" spans="1:17" ht="12.75">
      <c r="A110" s="5"/>
      <c r="B110" s="16"/>
      <c r="C110" s="16"/>
      <c r="D110" s="83"/>
      <c r="E110" s="83"/>
      <c r="F110" s="83"/>
      <c r="G110" s="83"/>
      <c r="H110" s="83"/>
      <c r="I110" s="83"/>
      <c r="J110" s="83"/>
      <c r="K110" s="83"/>
      <c r="L110" s="83"/>
      <c r="M110" s="85"/>
      <c r="N110" s="18"/>
      <c r="O110" s="41"/>
      <c r="P110" s="38"/>
      <c r="Q110" s="45"/>
    </row>
    <row r="111" spans="1:17" ht="12.75">
      <c r="A111" s="5" t="s">
        <v>51</v>
      </c>
      <c r="B111" s="16"/>
      <c r="C111" s="16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18">
        <f>SUM(B111:M111)</f>
        <v>0</v>
      </c>
      <c r="O111" s="41">
        <f>N111/622.8/12</f>
        <v>0</v>
      </c>
      <c r="P111" s="38"/>
      <c r="Q111" s="45">
        <f>P111/622.8/12</f>
        <v>0</v>
      </c>
    </row>
    <row r="112" spans="1:17" ht="12.75">
      <c r="A112" s="5"/>
      <c r="B112" s="16"/>
      <c r="C112" s="16"/>
      <c r="D112" s="83"/>
      <c r="E112" s="83"/>
      <c r="F112" s="83"/>
      <c r="G112" s="83"/>
      <c r="H112" s="83"/>
      <c r="I112" s="83"/>
      <c r="J112" s="83"/>
      <c r="K112" s="83"/>
      <c r="L112" s="83"/>
      <c r="M112" s="85"/>
      <c r="N112" s="18"/>
      <c r="O112" s="41"/>
      <c r="P112" s="38"/>
      <c r="Q112" s="45"/>
    </row>
    <row r="113" spans="1:17" ht="12.75">
      <c r="A113" s="5" t="s">
        <v>25</v>
      </c>
      <c r="B113" s="16">
        <v>395.6</v>
      </c>
      <c r="C113" s="16">
        <v>390.78</v>
      </c>
      <c r="D113" s="83">
        <v>384.23</v>
      </c>
      <c r="E113" s="83">
        <v>394.78</v>
      </c>
      <c r="F113" s="83">
        <v>349.44</v>
      </c>
      <c r="G113" s="83">
        <v>431.95</v>
      </c>
      <c r="H113" s="83">
        <v>393.66</v>
      </c>
      <c r="I113" s="83">
        <v>378.77</v>
      </c>
      <c r="J113" s="83">
        <v>364.43</v>
      </c>
      <c r="K113" s="83">
        <v>405.76</v>
      </c>
      <c r="L113" s="83">
        <v>341.92</v>
      </c>
      <c r="M113" s="85">
        <v>449.4</v>
      </c>
      <c r="N113" s="18">
        <f>SUM(B113:M113)</f>
        <v>4680.72</v>
      </c>
      <c r="O113" s="41">
        <f>N113/622.8/12</f>
        <v>0.6263005780346821</v>
      </c>
      <c r="P113" s="38">
        <v>4850</v>
      </c>
      <c r="Q113" s="45">
        <f>P113/622.8/12</f>
        <v>0.6489509740954827</v>
      </c>
    </row>
    <row r="114" spans="1:17" ht="12.75">
      <c r="A114" s="5"/>
      <c r="B114" s="16"/>
      <c r="C114" s="16"/>
      <c r="D114" s="83"/>
      <c r="E114" s="83"/>
      <c r="F114" s="83"/>
      <c r="G114" s="83"/>
      <c r="H114" s="83"/>
      <c r="I114" s="83"/>
      <c r="J114" s="83"/>
      <c r="K114" s="83"/>
      <c r="L114" s="83"/>
      <c r="M114" s="85"/>
      <c r="N114" s="18"/>
      <c r="O114" s="41"/>
      <c r="P114" s="38"/>
      <c r="Q114" s="45"/>
    </row>
    <row r="115" spans="1:17" ht="12.75">
      <c r="A115" s="5" t="s">
        <v>59</v>
      </c>
      <c r="B115" s="16">
        <v>64.25</v>
      </c>
      <c r="C115" s="16">
        <v>56.44</v>
      </c>
      <c r="D115" s="83">
        <v>122.62</v>
      </c>
      <c r="E115" s="83">
        <v>21.73</v>
      </c>
      <c r="F115" s="83">
        <v>139.31</v>
      </c>
      <c r="G115" s="83">
        <v>123.47</v>
      </c>
      <c r="H115" s="83">
        <v>92.86</v>
      </c>
      <c r="I115" s="83">
        <v>39.91</v>
      </c>
      <c r="J115" s="83">
        <v>102.81</v>
      </c>
      <c r="K115" s="83">
        <v>113.99</v>
      </c>
      <c r="L115" s="83">
        <v>41.02</v>
      </c>
      <c r="M115" s="85">
        <v>69.85</v>
      </c>
      <c r="N115" s="18">
        <f>SUM(B115:M115)</f>
        <v>988.2600000000001</v>
      </c>
      <c r="O115" s="41">
        <f>N115/622.8/12</f>
        <v>0.13223346178548492</v>
      </c>
      <c r="P115" s="38">
        <v>1100</v>
      </c>
      <c r="Q115" s="45">
        <f>P115/622.8/12</f>
        <v>0.14718475701134662</v>
      </c>
    </row>
    <row r="116" spans="1:17" ht="12.75">
      <c r="A116" s="5"/>
      <c r="B116" s="16"/>
      <c r="C116" s="16"/>
      <c r="D116" s="83"/>
      <c r="E116" s="83"/>
      <c r="F116" s="83"/>
      <c r="G116" s="83"/>
      <c r="H116" s="83"/>
      <c r="I116" s="83"/>
      <c r="J116" s="83"/>
      <c r="K116" s="83"/>
      <c r="L116" s="83"/>
      <c r="M116" s="85"/>
      <c r="N116" s="18"/>
      <c r="O116" s="41"/>
      <c r="P116" s="38"/>
      <c r="Q116" s="45"/>
    </row>
    <row r="117" spans="1:17" ht="12.75">
      <c r="A117" s="5" t="s">
        <v>53</v>
      </c>
      <c r="B117" s="16">
        <v>90.11</v>
      </c>
      <c r="C117" s="16"/>
      <c r="D117" s="16"/>
      <c r="E117" s="83"/>
      <c r="F117" s="83"/>
      <c r="G117" s="83"/>
      <c r="H117" s="83"/>
      <c r="I117" s="83"/>
      <c r="J117" s="83"/>
      <c r="K117" s="83"/>
      <c r="L117" s="83"/>
      <c r="M117" s="85"/>
      <c r="N117" s="18">
        <f>SUM(B117:M117)</f>
        <v>90.11</v>
      </c>
      <c r="O117" s="41">
        <f>N117/622.8/12</f>
        <v>0.012057107685720403</v>
      </c>
      <c r="P117" s="38">
        <v>-300</v>
      </c>
      <c r="Q117" s="45">
        <f>P117/622.8/12</f>
        <v>-0.040141297366730895</v>
      </c>
    </row>
    <row r="118" spans="1:17" ht="12.75">
      <c r="A118" s="5"/>
      <c r="B118" s="13"/>
      <c r="C118" s="13"/>
      <c r="D118" s="13"/>
      <c r="E118" s="86"/>
      <c r="F118" s="86"/>
      <c r="G118" s="86"/>
      <c r="H118" s="86"/>
      <c r="I118" s="86"/>
      <c r="J118" s="86"/>
      <c r="K118" s="86"/>
      <c r="L118" s="86"/>
      <c r="M118" s="87"/>
      <c r="N118" s="15"/>
      <c r="O118" s="41"/>
      <c r="P118" s="61"/>
      <c r="Q118" s="62"/>
    </row>
    <row r="119" spans="1:17" ht="12.75">
      <c r="A119" s="20"/>
      <c r="B119" s="2"/>
      <c r="C119" s="2"/>
      <c r="D119" s="2"/>
      <c r="E119" s="88"/>
      <c r="F119" s="88"/>
      <c r="G119" s="88"/>
      <c r="H119" s="88"/>
      <c r="I119" s="88"/>
      <c r="J119" s="88"/>
      <c r="K119" s="88"/>
      <c r="L119" s="88"/>
      <c r="M119" s="89"/>
      <c r="N119" s="4"/>
      <c r="O119" s="63"/>
      <c r="P119" s="38"/>
      <c r="Q119" s="45"/>
    </row>
    <row r="120" spans="1:17" ht="12.75">
      <c r="A120" s="22"/>
      <c r="B120" s="16">
        <f>SUM(B97:B117)</f>
        <v>1045.49</v>
      </c>
      <c r="C120" s="16">
        <f>SUM(C97:C117)</f>
        <v>1399.72</v>
      </c>
      <c r="D120" s="16">
        <f>SUM(D97:D117)</f>
        <v>893.01</v>
      </c>
      <c r="E120" s="83">
        <f>SUM(E97:E117)</f>
        <v>731.11</v>
      </c>
      <c r="F120" s="83">
        <f>SUM(F97:F117)</f>
        <v>861.8199999999999</v>
      </c>
      <c r="G120" s="83">
        <f>SUM(G97:G117)</f>
        <v>873.82</v>
      </c>
      <c r="H120" s="83">
        <f>SUM(H97:H117)</f>
        <v>842.25</v>
      </c>
      <c r="I120" s="83">
        <f>SUM(I97:I117)</f>
        <v>1212.1399999999999</v>
      </c>
      <c r="J120" s="83">
        <f>SUM(J97:J117)</f>
        <v>856.38</v>
      </c>
      <c r="K120" s="83">
        <f>SUM(K97:K117)</f>
        <v>900.75</v>
      </c>
      <c r="L120" s="83">
        <f>SUM(L97:L117)</f>
        <v>759.61</v>
      </c>
      <c r="M120" s="83">
        <f>SUM(M97:M117)</f>
        <v>1039.65</v>
      </c>
      <c r="N120" s="18">
        <f>SUM(N97:N115)</f>
        <v>11325.640000000001</v>
      </c>
      <c r="O120" s="18">
        <f>SUM(O92:O117)</f>
        <v>1.5274767180475275</v>
      </c>
      <c r="P120" s="38">
        <f>SUM(P92:P117)</f>
        <v>11575</v>
      </c>
      <c r="Q120" s="45">
        <f>SUM(Q92:Q117)</f>
        <v>1.5792235091272968</v>
      </c>
    </row>
    <row r="121" spans="1:17" ht="12.75">
      <c r="A121" s="24"/>
      <c r="B121" s="10"/>
      <c r="C121" s="10"/>
      <c r="D121" s="10"/>
      <c r="E121" s="91"/>
      <c r="F121" s="91"/>
      <c r="G121" s="91"/>
      <c r="H121" s="91"/>
      <c r="I121" s="91"/>
      <c r="J121" s="91"/>
      <c r="K121" s="91"/>
      <c r="L121" s="91"/>
      <c r="M121" s="92"/>
      <c r="N121" s="12"/>
      <c r="O121" s="65"/>
      <c r="P121" s="61"/>
      <c r="Q121" s="62"/>
    </row>
    <row r="122" spans="1:17" ht="12.75">
      <c r="A122" s="47" t="s">
        <v>53</v>
      </c>
      <c r="B122" s="2">
        <v>11.44</v>
      </c>
      <c r="C122" s="2"/>
      <c r="D122" s="2"/>
      <c r="E122" s="88"/>
      <c r="F122" s="88"/>
      <c r="G122" s="88"/>
      <c r="H122" s="88"/>
      <c r="I122" s="88"/>
      <c r="J122" s="88"/>
      <c r="K122" s="88"/>
      <c r="L122" s="88"/>
      <c r="M122" s="88"/>
      <c r="N122" s="48"/>
      <c r="O122" s="68"/>
      <c r="P122" s="50"/>
      <c r="Q122" s="51"/>
    </row>
    <row r="123" spans="1:17" ht="12.75">
      <c r="A123" s="5" t="s">
        <v>69</v>
      </c>
      <c r="B123" s="16">
        <f>(B120-B107-B111-B117)/622.8*207.6</f>
        <v>307.79333333333335</v>
      </c>
      <c r="C123" s="16">
        <f>(C120-C107-C111-C117)/622.8*207.6</f>
        <v>455.9066666666667</v>
      </c>
      <c r="D123" s="16">
        <f>(D120-D107-D111-D117)/622.8*207.6</f>
        <v>287.00333333333333</v>
      </c>
      <c r="E123" s="83">
        <f>(E120-E107-E111-E117)/622.8*207.6</f>
        <v>233.0366666666667</v>
      </c>
      <c r="F123" s="83">
        <f>(F120-F107-F111-F117)/622.8*207.6</f>
        <v>276.6066666666666</v>
      </c>
      <c r="G123" s="83">
        <f>(G120-G107-G111-G117)/622.8*207.6</f>
        <v>280.6066666666667</v>
      </c>
      <c r="H123" s="83">
        <f>(H120-H107-H111-H117)/622.8*207.6</f>
        <v>270.08333333333337</v>
      </c>
      <c r="I123" s="83">
        <f>(I120-I107-I111-I117)/622.8*207.6</f>
        <v>393.37999999999994</v>
      </c>
      <c r="J123" s="83">
        <f>(J120-J107-J111-J117)/622.8*207.6</f>
        <v>275.12666666666667</v>
      </c>
      <c r="K123" s="83">
        <f>(K120-K107-K111-K117)/622.8*207.6</f>
        <v>289.9166666666667</v>
      </c>
      <c r="L123" s="83">
        <f>(L120-L107-L111-L117)/622.8*207.6</f>
        <v>242.87000000000003</v>
      </c>
      <c r="M123" s="83">
        <f>(M120-M107-M111-M117)/622.8*207.6</f>
        <v>336.2166666666667</v>
      </c>
      <c r="N123" s="18">
        <f>SUM(B123:M123)</f>
        <v>3648.5466666666666</v>
      </c>
      <c r="O123" s="18">
        <f>O120-O107-O111-O117</f>
        <v>1.4645739670306146</v>
      </c>
      <c r="P123" s="53">
        <f>P120-P107-P111</f>
        <v>11180</v>
      </c>
      <c r="Q123" s="52">
        <f>Q120-Q107-Q111</f>
        <v>1.4959323485335045</v>
      </c>
    </row>
    <row r="124" spans="1:17" ht="12.75">
      <c r="A124" s="9"/>
      <c r="B124" s="10"/>
      <c r="C124" s="10"/>
      <c r="D124" s="10"/>
      <c r="E124" s="91"/>
      <c r="F124" s="91"/>
      <c r="G124" s="91"/>
      <c r="H124" s="91"/>
      <c r="I124" s="91"/>
      <c r="J124" s="91"/>
      <c r="K124" s="91"/>
      <c r="L124" s="91"/>
      <c r="M124" s="91"/>
      <c r="N124" s="12"/>
      <c r="O124" s="25"/>
      <c r="P124" s="55"/>
      <c r="Q124" s="56"/>
    </row>
    <row r="125" spans="5:13" ht="12.75"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ht="12.75">
      <c r="A126" t="s">
        <v>55</v>
      </c>
      <c r="B126">
        <v>207.6</v>
      </c>
      <c r="C126">
        <v>207.6</v>
      </c>
      <c r="D126">
        <v>207.6</v>
      </c>
      <c r="E126" s="94">
        <v>207.6</v>
      </c>
      <c r="F126" s="94">
        <v>207.6</v>
      </c>
      <c r="G126" s="94">
        <v>207.6</v>
      </c>
      <c r="H126" s="94">
        <v>207.6</v>
      </c>
      <c r="I126" s="94">
        <v>207.6</v>
      </c>
      <c r="J126" s="94">
        <v>207.6</v>
      </c>
      <c r="K126" s="94">
        <v>207.6</v>
      </c>
      <c r="L126" s="94">
        <v>207.6</v>
      </c>
      <c r="M126">
        <v>207.6</v>
      </c>
    </row>
    <row r="127" spans="5:13" ht="12.75">
      <c r="E127" s="94"/>
      <c r="F127" s="94"/>
      <c r="G127" s="94"/>
      <c r="H127" s="94"/>
      <c r="I127" s="94"/>
      <c r="J127" s="103"/>
      <c r="K127" s="103"/>
      <c r="L127" s="103"/>
      <c r="M127" s="103"/>
    </row>
    <row r="128" spans="5:13" ht="12.75">
      <c r="E128" s="94"/>
      <c r="F128" s="94"/>
      <c r="G128" s="94"/>
      <c r="H128" s="94"/>
      <c r="I128" s="94"/>
      <c r="J128" s="103"/>
      <c r="K128" s="103"/>
      <c r="L128" s="103"/>
      <c r="M128" s="103"/>
    </row>
    <row r="129" spans="5:13" ht="12.75">
      <c r="E129" s="94"/>
      <c r="F129" s="94"/>
      <c r="G129" s="94"/>
      <c r="H129" s="94"/>
      <c r="I129" s="94"/>
      <c r="J129" s="103"/>
      <c r="K129" s="103"/>
      <c r="L129" s="103"/>
      <c r="M129" s="103"/>
    </row>
    <row r="130" spans="5:13" ht="12.75"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5:13" ht="12.75"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5:13" ht="12.75"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5:13" ht="12.75"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5:13" ht="12.75"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5:13" ht="12.75"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1:13" ht="12.75">
      <c r="A136" s="71">
        <v>2011</v>
      </c>
      <c r="B136" s="108" t="s">
        <v>31</v>
      </c>
      <c r="E136" s="94"/>
      <c r="F136" s="94"/>
      <c r="G136" s="94"/>
      <c r="H136" s="94"/>
      <c r="I136" s="94"/>
      <c r="J136" s="94"/>
      <c r="K136" s="94"/>
      <c r="L136" s="94"/>
      <c r="M136" s="26" t="s">
        <v>97</v>
      </c>
    </row>
    <row r="137" spans="5:18" ht="12.75">
      <c r="E137" s="94"/>
      <c r="F137" s="94"/>
      <c r="G137" s="94"/>
      <c r="H137" s="94"/>
      <c r="I137" s="94"/>
      <c r="J137" s="94"/>
      <c r="K137" s="94"/>
      <c r="L137" s="94"/>
      <c r="M137" s="27" t="s">
        <v>89</v>
      </c>
      <c r="Q137" s="97"/>
      <c r="R137" s="97" t="s">
        <v>45</v>
      </c>
    </row>
    <row r="138" spans="1:16" ht="12.75">
      <c r="A138" s="2"/>
      <c r="B138" s="2"/>
      <c r="C138" s="2"/>
      <c r="D138" s="2"/>
      <c r="E138" s="88"/>
      <c r="F138" s="88"/>
      <c r="G138" s="88"/>
      <c r="H138" s="88"/>
      <c r="I138" s="88"/>
      <c r="J138" s="88"/>
      <c r="K138" s="88"/>
      <c r="L138" s="88"/>
      <c r="M138" s="88"/>
      <c r="N138" s="4"/>
      <c r="O138" s="69"/>
      <c r="P138" s="70"/>
    </row>
    <row r="139" spans="1:16" ht="12.75">
      <c r="A139" s="5" t="s">
        <v>1</v>
      </c>
      <c r="B139" s="6" t="s">
        <v>2</v>
      </c>
      <c r="C139" s="6" t="s">
        <v>3</v>
      </c>
      <c r="D139" s="6" t="s">
        <v>4</v>
      </c>
      <c r="E139" s="99" t="s">
        <v>5</v>
      </c>
      <c r="F139" s="99" t="s">
        <v>6</v>
      </c>
      <c r="G139" s="99" t="s">
        <v>7</v>
      </c>
      <c r="H139" s="99" t="s">
        <v>8</v>
      </c>
      <c r="I139" s="99" t="s">
        <v>9</v>
      </c>
      <c r="J139" s="99" t="s">
        <v>10</v>
      </c>
      <c r="K139" s="99" t="s">
        <v>11</v>
      </c>
      <c r="L139" s="99" t="s">
        <v>12</v>
      </c>
      <c r="M139" s="100" t="s">
        <v>13</v>
      </c>
      <c r="N139" s="8" t="s">
        <v>14</v>
      </c>
      <c r="O139" s="71" t="s">
        <v>71</v>
      </c>
      <c r="P139" s="72" t="s">
        <v>72</v>
      </c>
    </row>
    <row r="140" spans="1:16" ht="12.75">
      <c r="A140" s="9"/>
      <c r="B140" s="10"/>
      <c r="C140" s="10"/>
      <c r="D140" s="10"/>
      <c r="E140" s="91"/>
      <c r="F140" s="91"/>
      <c r="G140" s="91"/>
      <c r="H140" s="91"/>
      <c r="I140" s="91"/>
      <c r="J140" s="91"/>
      <c r="K140" s="91"/>
      <c r="L140" s="91"/>
      <c r="M140" s="101"/>
      <c r="N140" s="12"/>
      <c r="P140" s="73" t="s">
        <v>73</v>
      </c>
    </row>
    <row r="141" spans="1:16" ht="12.75">
      <c r="A141" s="5"/>
      <c r="B141" s="13"/>
      <c r="C141" s="13"/>
      <c r="D141" s="13"/>
      <c r="E141" s="86"/>
      <c r="F141" s="86"/>
      <c r="G141" s="86"/>
      <c r="H141" s="86"/>
      <c r="I141" s="86"/>
      <c r="J141" s="86"/>
      <c r="K141" s="86"/>
      <c r="L141" s="86"/>
      <c r="M141" s="87"/>
      <c r="N141" s="15"/>
      <c r="O141" s="74"/>
      <c r="P141" s="75"/>
    </row>
    <row r="142" spans="1:16" ht="12.75">
      <c r="A142" s="5" t="s">
        <v>32</v>
      </c>
      <c r="B142" s="16"/>
      <c r="C142" s="16">
        <v>240</v>
      </c>
      <c r="D142" s="83"/>
      <c r="E142" s="83"/>
      <c r="F142" s="83"/>
      <c r="G142" s="83"/>
      <c r="H142" s="83">
        <v>430.5</v>
      </c>
      <c r="I142" s="83"/>
      <c r="J142" s="83"/>
      <c r="K142" s="83"/>
      <c r="L142" s="83"/>
      <c r="M142" s="85"/>
      <c r="N142" s="18">
        <f>SUM(B142:M142)</f>
        <v>670.5</v>
      </c>
      <c r="O142" s="76">
        <f>N142/$N$172</f>
        <v>0.005518269628662016</v>
      </c>
      <c r="P142" s="77">
        <f>N142/10655.6/12</f>
        <v>0.00524372161117159</v>
      </c>
    </row>
    <row r="143" spans="1:16" ht="12.75">
      <c r="A143" s="19" t="s">
        <v>85</v>
      </c>
      <c r="B143" s="16"/>
      <c r="C143" s="16"/>
      <c r="D143" s="83"/>
      <c r="E143" s="83"/>
      <c r="F143" s="83"/>
      <c r="G143" s="83"/>
      <c r="H143" s="83"/>
      <c r="I143" s="83"/>
      <c r="J143" s="83"/>
      <c r="K143" s="83"/>
      <c r="L143" s="83"/>
      <c r="M143" s="85"/>
      <c r="N143" s="18"/>
      <c r="O143" s="78"/>
      <c r="P143" s="77"/>
    </row>
    <row r="144" spans="1:16" ht="12.75">
      <c r="A144" s="5"/>
      <c r="B144" s="16"/>
      <c r="C144" s="16"/>
      <c r="D144" s="83"/>
      <c r="E144" s="83"/>
      <c r="F144" s="83"/>
      <c r="G144" s="83"/>
      <c r="H144" s="83"/>
      <c r="I144" s="83"/>
      <c r="J144" s="83"/>
      <c r="K144" s="83"/>
      <c r="L144" s="83"/>
      <c r="M144" s="85"/>
      <c r="N144" s="18"/>
      <c r="O144" s="78"/>
      <c r="P144" s="77"/>
    </row>
    <row r="145" spans="1:16" ht="12.75">
      <c r="A145" s="5" t="s">
        <v>34</v>
      </c>
      <c r="B145" s="16">
        <v>984</v>
      </c>
      <c r="C145" s="16">
        <v>984</v>
      </c>
      <c r="D145" s="83">
        <v>984</v>
      </c>
      <c r="E145" s="83">
        <v>984</v>
      </c>
      <c r="F145" s="83">
        <v>984</v>
      </c>
      <c r="G145" s="83">
        <v>984</v>
      </c>
      <c r="H145" s="83">
        <v>984</v>
      </c>
      <c r="I145" s="83">
        <v>984</v>
      </c>
      <c r="J145" s="83">
        <v>984</v>
      </c>
      <c r="K145" s="83">
        <v>984</v>
      </c>
      <c r="L145" s="83">
        <v>984</v>
      </c>
      <c r="M145" s="83">
        <v>984</v>
      </c>
      <c r="N145" s="18">
        <f>SUM(B145:M145)</f>
        <v>11808</v>
      </c>
      <c r="O145" s="76">
        <f>N145/$N$172</f>
        <v>0.097180802051068</v>
      </c>
      <c r="P145" s="77">
        <f>N145/10655.6/12</f>
        <v>0.09234580877660571</v>
      </c>
    </row>
    <row r="146" spans="1:16" ht="12.75">
      <c r="A146" s="5"/>
      <c r="B146" s="16"/>
      <c r="C146" s="16"/>
      <c r="D146" s="83"/>
      <c r="E146" s="83"/>
      <c r="F146" s="83"/>
      <c r="G146" s="83"/>
      <c r="H146" s="83"/>
      <c r="I146" s="83"/>
      <c r="J146" s="83"/>
      <c r="K146" s="83"/>
      <c r="L146" s="83"/>
      <c r="M146" s="85"/>
      <c r="N146" s="18"/>
      <c r="O146" s="78"/>
      <c r="P146" s="77"/>
    </row>
    <row r="147" spans="1:16" ht="12.75">
      <c r="A147" s="5" t="s">
        <v>36</v>
      </c>
      <c r="B147" s="16"/>
      <c r="C147" s="16"/>
      <c r="D147" s="83"/>
      <c r="E147" s="83"/>
      <c r="F147" s="83"/>
      <c r="G147" s="83"/>
      <c r="H147" s="83"/>
      <c r="I147" s="83"/>
      <c r="J147" s="83"/>
      <c r="K147" s="83">
        <v>758.1</v>
      </c>
      <c r="L147" s="83"/>
      <c r="M147" s="85">
        <v>850</v>
      </c>
      <c r="N147" s="18">
        <f>SUM(B147:M147)</f>
        <v>1608.1</v>
      </c>
      <c r="O147" s="78"/>
      <c r="P147" s="77">
        <f>N147/10655.6/12</f>
        <v>0.012576329191536216</v>
      </c>
    </row>
    <row r="148" spans="1:16" ht="12.75">
      <c r="A148" s="5"/>
      <c r="B148" s="16"/>
      <c r="C148" s="16"/>
      <c r="D148" s="83"/>
      <c r="E148" s="83"/>
      <c r="F148" s="83"/>
      <c r="G148" s="83"/>
      <c r="H148" s="83"/>
      <c r="I148" s="83"/>
      <c r="J148" s="83"/>
      <c r="K148" s="83"/>
      <c r="L148" s="83"/>
      <c r="M148" s="85"/>
      <c r="N148" s="18"/>
      <c r="O148" s="78"/>
      <c r="P148" s="77"/>
    </row>
    <row r="149" spans="1:16" ht="12.75">
      <c r="A149" s="5" t="s">
        <v>16</v>
      </c>
      <c r="B149" s="16">
        <v>121.21</v>
      </c>
      <c r="C149" s="16"/>
      <c r="D149" s="83">
        <v>173.84</v>
      </c>
      <c r="E149" s="83"/>
      <c r="F149" s="83">
        <v>163.81</v>
      </c>
      <c r="G149" s="83"/>
      <c r="H149" s="83">
        <v>193.38</v>
      </c>
      <c r="I149" s="83"/>
      <c r="J149" s="83">
        <v>138.47</v>
      </c>
      <c r="K149" s="83"/>
      <c r="L149" s="83">
        <v>188.63</v>
      </c>
      <c r="M149" s="85"/>
      <c r="N149" s="18">
        <f>SUM(B149:M149)</f>
        <v>979.34</v>
      </c>
      <c r="O149" s="76">
        <f>N149/$N$172</f>
        <v>0.008060047991251094</v>
      </c>
      <c r="P149" s="77">
        <f>N149/10655.6/12</f>
        <v>0.007659040004004154</v>
      </c>
    </row>
    <row r="150" spans="1:16" ht="12.75">
      <c r="A150" s="5"/>
      <c r="B150" s="16"/>
      <c r="C150" s="16"/>
      <c r="D150" s="83"/>
      <c r="E150" s="83"/>
      <c r="F150" s="83"/>
      <c r="G150" s="83"/>
      <c r="H150" s="83"/>
      <c r="I150" s="83"/>
      <c r="J150" s="83"/>
      <c r="K150" s="83"/>
      <c r="L150" s="83"/>
      <c r="M150" s="85"/>
      <c r="N150" s="18"/>
      <c r="O150" s="78"/>
      <c r="P150" s="77"/>
    </row>
    <row r="151" spans="1:16" ht="12.75">
      <c r="A151" s="5" t="s">
        <v>86</v>
      </c>
      <c r="B151" s="16"/>
      <c r="C151" s="16"/>
      <c r="D151" s="83"/>
      <c r="E151" s="83"/>
      <c r="F151" s="83"/>
      <c r="G151" s="83"/>
      <c r="H151" s="83"/>
      <c r="I151" s="83">
        <v>775.66</v>
      </c>
      <c r="J151" s="83"/>
      <c r="K151" s="83"/>
      <c r="L151" s="83"/>
      <c r="M151" s="85"/>
      <c r="N151" s="18">
        <f>SUM(B151:M151)</f>
        <v>775.66</v>
      </c>
      <c r="O151" s="76">
        <f>N151/$N$172</f>
        <v>0.006383744996521968</v>
      </c>
      <c r="P151" s="77">
        <f>N151/10655.6/12</f>
        <v>0.0060661373675188</v>
      </c>
    </row>
    <row r="152" spans="1:16" ht="12.75">
      <c r="A152" s="5"/>
      <c r="B152" s="16"/>
      <c r="C152" s="16"/>
      <c r="D152" s="83"/>
      <c r="E152" s="83"/>
      <c r="F152" s="83"/>
      <c r="G152" s="83"/>
      <c r="H152" s="83"/>
      <c r="I152" s="83"/>
      <c r="J152" s="83"/>
      <c r="K152" s="83"/>
      <c r="L152" s="83"/>
      <c r="M152" s="85"/>
      <c r="N152" s="18"/>
      <c r="O152" s="78"/>
      <c r="P152" s="77"/>
    </row>
    <row r="153" spans="1:16" ht="12.75">
      <c r="A153" s="5" t="s">
        <v>37</v>
      </c>
      <c r="B153" s="16">
        <v>946.06</v>
      </c>
      <c r="C153" s="16">
        <v>1841.83</v>
      </c>
      <c r="D153" s="83">
        <v>526.33</v>
      </c>
      <c r="E153" s="83">
        <v>397.01</v>
      </c>
      <c r="F153" s="83">
        <v>413.35</v>
      </c>
      <c r="G153" s="83">
        <v>931.47</v>
      </c>
      <c r="H153" s="83">
        <v>50.8</v>
      </c>
      <c r="I153" s="83">
        <v>111.86</v>
      </c>
      <c r="J153" s="83">
        <v>309.08</v>
      </c>
      <c r="K153" s="83">
        <v>1105.56</v>
      </c>
      <c r="L153" s="83">
        <v>52.39</v>
      </c>
      <c r="M153" s="85">
        <f>139+50.29+20</f>
        <v>209.29</v>
      </c>
      <c r="N153" s="18">
        <f>SUM(B153:M153)</f>
        <v>6895.029999999999</v>
      </c>
      <c r="O153" s="76">
        <f>N153/$N$172</f>
        <v>0.056746658669222155</v>
      </c>
      <c r="P153" s="77">
        <f>N153/10655.6/12</f>
        <v>0.053923367368644955</v>
      </c>
    </row>
    <row r="154" spans="1:16" ht="12.75">
      <c r="A154" s="5"/>
      <c r="B154" s="16"/>
      <c r="C154" s="16"/>
      <c r="D154" s="83"/>
      <c r="E154" s="83"/>
      <c r="F154" s="83"/>
      <c r="G154" s="83"/>
      <c r="H154" s="83"/>
      <c r="I154" s="83"/>
      <c r="J154" s="83"/>
      <c r="K154" s="83"/>
      <c r="L154" s="83"/>
      <c r="M154" s="85"/>
      <c r="N154" s="18"/>
      <c r="O154" s="78"/>
      <c r="P154" s="77"/>
    </row>
    <row r="155" spans="1:16" ht="12.75">
      <c r="A155" s="5" t="s">
        <v>74</v>
      </c>
      <c r="B155" s="16">
        <v>539.77</v>
      </c>
      <c r="C155" s="16">
        <v>417.96</v>
      </c>
      <c r="D155" s="83">
        <v>450.93</v>
      </c>
      <c r="E155" s="83">
        <v>357.63</v>
      </c>
      <c r="F155" s="83">
        <v>462.52</v>
      </c>
      <c r="G155" s="83">
        <v>812.79</v>
      </c>
      <c r="H155" s="83">
        <v>675.68</v>
      </c>
      <c r="I155" s="83">
        <v>439.6</v>
      </c>
      <c r="J155" s="83">
        <v>441.12</v>
      </c>
      <c r="K155" s="83">
        <v>445.25</v>
      </c>
      <c r="L155" s="83">
        <v>494.53</v>
      </c>
      <c r="M155" s="83">
        <f>444.77+139.61</f>
        <v>584.38</v>
      </c>
      <c r="N155" s="18">
        <f>SUM(B155:M155)</f>
        <v>6122.16</v>
      </c>
      <c r="O155" s="76">
        <f>N155/$N$172</f>
        <v>0.05038587560001409</v>
      </c>
      <c r="P155" s="77">
        <f>N155/10655.6/12</f>
        <v>0.04787904951387064</v>
      </c>
    </row>
    <row r="156" spans="1:16" ht="12.75">
      <c r="A156" s="5"/>
      <c r="B156" s="16"/>
      <c r="C156" s="16"/>
      <c r="D156" s="83"/>
      <c r="E156" s="83"/>
      <c r="F156" s="83"/>
      <c r="G156" s="83"/>
      <c r="H156" s="83"/>
      <c r="I156" s="83"/>
      <c r="J156" s="83"/>
      <c r="K156" s="83"/>
      <c r="L156" s="83"/>
      <c r="M156" s="85"/>
      <c r="N156" s="18"/>
      <c r="O156" s="78"/>
      <c r="P156" s="77"/>
    </row>
    <row r="157" spans="1:16" ht="12.75">
      <c r="A157" s="5" t="s">
        <v>39</v>
      </c>
      <c r="B157" s="16">
        <v>212.5</v>
      </c>
      <c r="C157" s="16">
        <v>117.2</v>
      </c>
      <c r="D157" s="83">
        <v>166.4</v>
      </c>
      <c r="E157" s="83">
        <v>88.9</v>
      </c>
      <c r="F157" s="83">
        <v>66.1</v>
      </c>
      <c r="G157" s="83">
        <v>113.75</v>
      </c>
      <c r="H157" s="83">
        <v>159.1</v>
      </c>
      <c r="I157" s="83"/>
      <c r="J157" s="83">
        <v>82.5</v>
      </c>
      <c r="K157" s="83">
        <v>155</v>
      </c>
      <c r="L157" s="83">
        <v>85.35</v>
      </c>
      <c r="M157" s="85">
        <v>12.5</v>
      </c>
      <c r="N157" s="18">
        <f>SUM(B157:M157)</f>
        <v>1259.3</v>
      </c>
      <c r="O157" s="76">
        <f>N157/$N$172</f>
        <v>0.010364141600856192</v>
      </c>
      <c r="P157" s="77">
        <f>N157/10655.6/12</f>
        <v>0.009848499067782823</v>
      </c>
    </row>
    <row r="158" spans="1:16" ht="12.75">
      <c r="A158" s="5"/>
      <c r="B158" s="16"/>
      <c r="C158" s="16"/>
      <c r="D158" s="83"/>
      <c r="E158" s="83"/>
      <c r="F158" s="83"/>
      <c r="G158" s="83"/>
      <c r="H158" s="83"/>
      <c r="I158" s="83"/>
      <c r="J158" s="83"/>
      <c r="K158" s="83"/>
      <c r="L158" s="83"/>
      <c r="M158" s="85"/>
      <c r="N158" s="18"/>
      <c r="O158" s="78"/>
      <c r="P158" s="77"/>
    </row>
    <row r="159" spans="1:16" ht="12.75">
      <c r="A159" s="5" t="s">
        <v>40</v>
      </c>
      <c r="B159" s="16">
        <v>5500</v>
      </c>
      <c r="C159" s="16">
        <v>5500</v>
      </c>
      <c r="D159" s="83">
        <v>5500</v>
      </c>
      <c r="E159" s="83">
        <v>5500</v>
      </c>
      <c r="F159" s="83">
        <v>5500</v>
      </c>
      <c r="G159" s="83">
        <v>5500</v>
      </c>
      <c r="H159" s="83">
        <v>5500</v>
      </c>
      <c r="I159" s="83">
        <v>5500</v>
      </c>
      <c r="J159" s="83">
        <v>5500</v>
      </c>
      <c r="K159" s="83">
        <v>5500</v>
      </c>
      <c r="L159" s="83">
        <v>5500</v>
      </c>
      <c r="M159" s="83">
        <v>5500</v>
      </c>
      <c r="N159" s="18">
        <f>SUM(B159:M159)</f>
        <v>66000</v>
      </c>
      <c r="O159" s="76">
        <f>N159/$N$172</f>
        <v>0.5431853773179613</v>
      </c>
      <c r="P159" s="77">
        <f>N159/10655.6/12</f>
        <v>0.516160516535906</v>
      </c>
    </row>
    <row r="160" spans="1:16" ht="12.75">
      <c r="A160" s="5"/>
      <c r="B160" s="16"/>
      <c r="C160" s="16"/>
      <c r="D160" s="83"/>
      <c r="E160" s="83"/>
      <c r="F160" s="83"/>
      <c r="G160" s="83"/>
      <c r="H160" s="83"/>
      <c r="I160" s="83"/>
      <c r="J160" s="83"/>
      <c r="K160" s="83"/>
      <c r="L160" s="83"/>
      <c r="M160" s="85"/>
      <c r="N160" s="18"/>
      <c r="O160" s="78"/>
      <c r="P160" s="77"/>
    </row>
    <row r="161" spans="1:16" ht="12.75">
      <c r="A161" s="5" t="s">
        <v>41</v>
      </c>
      <c r="B161" s="16">
        <v>1323.16</v>
      </c>
      <c r="C161" s="16">
        <v>1016.29</v>
      </c>
      <c r="D161" s="83">
        <v>1016.29</v>
      </c>
      <c r="E161" s="83">
        <v>1766.29</v>
      </c>
      <c r="F161" s="83">
        <v>1016.29</v>
      </c>
      <c r="G161" s="83">
        <v>2016.29</v>
      </c>
      <c r="H161" s="83">
        <v>1016.29</v>
      </c>
      <c r="I161" s="83">
        <v>1516.29</v>
      </c>
      <c r="J161" s="83">
        <v>1016.4</v>
      </c>
      <c r="K161" s="83">
        <v>1016.4</v>
      </c>
      <c r="L161" s="83">
        <v>1016.4</v>
      </c>
      <c r="M161" s="83">
        <v>2932.8</v>
      </c>
      <c r="N161" s="18">
        <f>SUM(B161:M161)</f>
        <v>16669.19</v>
      </c>
      <c r="O161" s="76">
        <f>N161/$N$172</f>
        <v>0.13718879181416344</v>
      </c>
      <c r="P161" s="77">
        <f>N161/10655.6/12</f>
        <v>0.13036329879750239</v>
      </c>
    </row>
    <row r="162" spans="1:16" ht="12.75">
      <c r="A162" s="5"/>
      <c r="B162" s="16"/>
      <c r="C162" s="16"/>
      <c r="D162" s="83"/>
      <c r="E162" s="83"/>
      <c r="F162" s="83"/>
      <c r="G162" s="83"/>
      <c r="H162" s="83"/>
      <c r="I162" s="83"/>
      <c r="J162" s="83"/>
      <c r="K162" s="83"/>
      <c r="L162" s="83"/>
      <c r="M162" s="85"/>
      <c r="N162" s="18"/>
      <c r="O162" s="78"/>
      <c r="P162" s="77"/>
    </row>
    <row r="163" spans="1:16" ht="12.75">
      <c r="A163" s="5" t="s">
        <v>42</v>
      </c>
      <c r="B163" s="16"/>
      <c r="C163" s="16"/>
      <c r="D163" s="83">
        <v>750</v>
      </c>
      <c r="E163" s="83"/>
      <c r="F163" s="83"/>
      <c r="G163" s="83">
        <v>750</v>
      </c>
      <c r="H163" s="83"/>
      <c r="I163" s="83"/>
      <c r="J163" s="83">
        <v>750</v>
      </c>
      <c r="K163" s="83"/>
      <c r="L163" s="83"/>
      <c r="M163" s="85">
        <f>750+50.2</f>
        <v>800.2</v>
      </c>
      <c r="N163" s="18">
        <f>SUM(B163:M163)</f>
        <v>3050.2</v>
      </c>
      <c r="O163" s="76">
        <f>N163/$N$172</f>
        <v>0.025103394513564324</v>
      </c>
      <c r="P163" s="77">
        <f>N163/10655.6/12</f>
        <v>0.023854436477845766</v>
      </c>
    </row>
    <row r="164" spans="1:16" ht="12.75">
      <c r="A164" s="5"/>
      <c r="B164" s="16"/>
      <c r="C164" s="16"/>
      <c r="D164" s="83"/>
      <c r="E164" s="83"/>
      <c r="F164" s="83"/>
      <c r="G164" s="83"/>
      <c r="H164" s="83"/>
      <c r="I164" s="83"/>
      <c r="J164" s="83"/>
      <c r="K164" s="83"/>
      <c r="L164" s="83"/>
      <c r="M164" s="85"/>
      <c r="N164" s="18"/>
      <c r="O164" s="78"/>
      <c r="P164" s="77"/>
    </row>
    <row r="165" spans="1:16" ht="12.75">
      <c r="A165" s="5" t="s">
        <v>23</v>
      </c>
      <c r="B165" s="16"/>
      <c r="C165" s="16">
        <v>854</v>
      </c>
      <c r="D165" s="83"/>
      <c r="E165" s="83">
        <v>871</v>
      </c>
      <c r="F165" s="83"/>
      <c r="G165" s="83"/>
      <c r="H165" s="83">
        <v>870</v>
      </c>
      <c r="I165" s="83">
        <v>848</v>
      </c>
      <c r="J165" s="83"/>
      <c r="K165" s="83">
        <v>870</v>
      </c>
      <c r="L165" s="83"/>
      <c r="M165" s="85"/>
      <c r="N165" s="18">
        <f>SUM(B165:M165)</f>
        <v>4313</v>
      </c>
      <c r="O165" s="76">
        <f>N165/$N$172</f>
        <v>0.03549634139958132</v>
      </c>
      <c r="P165" s="77">
        <f>N165/10655.6/12</f>
        <v>0.03373030769423276</v>
      </c>
    </row>
    <row r="166" spans="1:16" ht="12.75">
      <c r="A166" s="5"/>
      <c r="B166" s="16"/>
      <c r="C166" s="16"/>
      <c r="D166" s="83"/>
      <c r="E166" s="83"/>
      <c r="F166" s="83"/>
      <c r="G166" s="83"/>
      <c r="H166" s="83"/>
      <c r="I166" s="83"/>
      <c r="J166" s="83"/>
      <c r="K166" s="83"/>
      <c r="L166" s="83"/>
      <c r="M166" s="85"/>
      <c r="N166" s="18"/>
      <c r="O166" s="76"/>
      <c r="P166" s="77"/>
    </row>
    <row r="167" spans="1:16" ht="12.75">
      <c r="A167" s="5" t="s">
        <v>87</v>
      </c>
      <c r="B167" s="16"/>
      <c r="C167" s="16"/>
      <c r="D167" s="83"/>
      <c r="E167" s="83"/>
      <c r="F167" s="83"/>
      <c r="G167" s="83"/>
      <c r="H167" s="83">
        <v>500</v>
      </c>
      <c r="I167" s="83"/>
      <c r="J167" s="83"/>
      <c r="K167" s="83">
        <v>30</v>
      </c>
      <c r="L167" s="83"/>
      <c r="M167" s="85"/>
      <c r="N167" s="18">
        <f>SUM(B167:M167)</f>
        <v>530</v>
      </c>
      <c r="O167" s="76">
        <f>N167/$N$172</f>
        <v>0.004361943181492719</v>
      </c>
      <c r="P167" s="77">
        <f>N167/10655.6/12</f>
        <v>0.004144925360061063</v>
      </c>
    </row>
    <row r="168" spans="1:16" ht="12.75">
      <c r="A168" s="5"/>
      <c r="B168" s="16"/>
      <c r="C168" s="16"/>
      <c r="D168" s="83"/>
      <c r="E168" s="83"/>
      <c r="F168" s="83"/>
      <c r="G168" s="83"/>
      <c r="H168" s="83"/>
      <c r="I168" s="83"/>
      <c r="J168" s="83"/>
      <c r="K168" s="83"/>
      <c r="L168" s="83"/>
      <c r="M168" s="85"/>
      <c r="N168" s="18"/>
      <c r="O168" s="78"/>
      <c r="P168" s="77"/>
    </row>
    <row r="169" spans="1:16" ht="12.75">
      <c r="A169" s="5" t="s">
        <v>43</v>
      </c>
      <c r="B169" s="16">
        <v>69</v>
      </c>
      <c r="C169" s="16">
        <v>69</v>
      </c>
      <c r="D169" s="83">
        <v>69</v>
      </c>
      <c r="E169" s="83">
        <v>69</v>
      </c>
      <c r="F169" s="83">
        <v>69</v>
      </c>
      <c r="G169" s="83">
        <v>69</v>
      </c>
      <c r="H169" s="83">
        <v>69</v>
      </c>
      <c r="I169" s="83">
        <v>69</v>
      </c>
      <c r="J169" s="83">
        <v>69</v>
      </c>
      <c r="K169" s="83">
        <v>68</v>
      </c>
      <c r="L169" s="83">
        <v>68</v>
      </c>
      <c r="M169" s="85">
        <v>68</v>
      </c>
      <c r="N169" s="18">
        <f>SUM(B169:M169)</f>
        <v>825</v>
      </c>
      <c r="O169" s="76">
        <f>N169/$N$172</f>
        <v>0.006789817216474516</v>
      </c>
      <c r="P169" s="77">
        <f>N169/10655.6/12</f>
        <v>0.006452006456698824</v>
      </c>
    </row>
    <row r="170" spans="1:16" ht="12.75">
      <c r="A170" s="5"/>
      <c r="B170" s="13"/>
      <c r="C170" s="13"/>
      <c r="D170" s="86"/>
      <c r="E170" s="86"/>
      <c r="F170" s="86"/>
      <c r="G170" s="86"/>
      <c r="H170" s="86"/>
      <c r="I170" s="13"/>
      <c r="J170" s="86"/>
      <c r="K170" s="86"/>
      <c r="L170" s="86"/>
      <c r="M170" s="87"/>
      <c r="N170" s="15"/>
      <c r="O170" s="79"/>
      <c r="P170" s="54"/>
    </row>
    <row r="171" spans="1:16" ht="12.75">
      <c r="A171" s="20"/>
      <c r="B171" s="2"/>
      <c r="C171" s="2"/>
      <c r="D171" s="2"/>
      <c r="E171" s="88"/>
      <c r="F171" s="88"/>
      <c r="G171" s="88"/>
      <c r="H171" s="88"/>
      <c r="I171" s="2"/>
      <c r="J171" s="88"/>
      <c r="K171" s="88"/>
      <c r="L171" s="88"/>
      <c r="M171" s="89"/>
      <c r="N171" s="4"/>
      <c r="P171" s="73"/>
    </row>
    <row r="172" spans="1:16" ht="12.75">
      <c r="A172" s="22"/>
      <c r="B172" s="16">
        <f>SUM(B142:B169)</f>
        <v>9695.7</v>
      </c>
      <c r="C172" s="16">
        <f>SUM(C142:C169)</f>
        <v>11040.279999999999</v>
      </c>
      <c r="D172" s="16">
        <f>SUM(D142:D169)</f>
        <v>9636.79</v>
      </c>
      <c r="E172" s="83">
        <f>SUM(E142:E169)</f>
        <v>10033.83</v>
      </c>
      <c r="F172" s="83">
        <f>SUM(F142:F169)</f>
        <v>8675.07</v>
      </c>
      <c r="G172" s="83">
        <f>SUM(G142:G169)</f>
        <v>11177.3</v>
      </c>
      <c r="H172" s="83">
        <f>SUM(H142:H169)</f>
        <v>10448.75</v>
      </c>
      <c r="I172" s="16">
        <f>SUM(I142:I169)</f>
        <v>10244.41</v>
      </c>
      <c r="J172" s="83">
        <f>SUM(J142:J169)</f>
        <v>9290.57</v>
      </c>
      <c r="K172" s="111">
        <f>SUM(K142:K169)</f>
        <v>10932.31</v>
      </c>
      <c r="L172" s="83">
        <f>SUM(L142:L169)</f>
        <v>8389.3</v>
      </c>
      <c r="M172" s="90">
        <f>SUM(M142:M169)</f>
        <v>11941.170000000002</v>
      </c>
      <c r="N172" s="18">
        <f>SUM(N142:N169)</f>
        <v>121505.48</v>
      </c>
      <c r="O172" s="76"/>
      <c r="P172" s="77"/>
    </row>
    <row r="173" spans="1:16" ht="12.75">
      <c r="A173" s="24"/>
      <c r="B173" s="10"/>
      <c r="C173" s="10"/>
      <c r="D173" s="10"/>
      <c r="E173" s="91"/>
      <c r="F173" s="91"/>
      <c r="G173" s="91"/>
      <c r="H173" s="91"/>
      <c r="I173" s="10"/>
      <c r="J173" s="91"/>
      <c r="K173" s="91"/>
      <c r="L173" s="91"/>
      <c r="M173" s="92"/>
      <c r="N173" s="12"/>
      <c r="O173" s="80"/>
      <c r="P173" s="81"/>
    </row>
    <row r="174" spans="1:14" ht="12.75">
      <c r="A174" s="1"/>
      <c r="B174" s="1"/>
      <c r="C174" s="1"/>
      <c r="D174" s="1"/>
      <c r="E174" s="59"/>
      <c r="F174" s="59"/>
      <c r="G174" s="59"/>
      <c r="H174" s="59"/>
      <c r="I174" s="1"/>
      <c r="J174" s="59"/>
      <c r="K174" s="59"/>
      <c r="L174" s="59"/>
      <c r="M174" s="59"/>
      <c r="N174" s="1"/>
    </row>
    <row r="175" spans="1:14" ht="12.75">
      <c r="A175" s="1"/>
      <c r="B175" s="1"/>
      <c r="C175" s="1"/>
      <c r="D175" s="1"/>
      <c r="E175" s="59"/>
      <c r="F175" s="59"/>
      <c r="G175" s="59"/>
      <c r="H175" s="59"/>
      <c r="I175" s="1"/>
      <c r="J175" s="59"/>
      <c r="K175" s="59"/>
      <c r="L175" s="59"/>
      <c r="M175" s="59"/>
      <c r="N175" s="1">
        <f>N172-N159-N161</f>
        <v>38836.28999999999</v>
      </c>
    </row>
    <row r="176" spans="1:14" ht="12.75">
      <c r="A176" s="1"/>
      <c r="B176" s="1"/>
      <c r="C176" s="1"/>
      <c r="D176" s="1"/>
      <c r="E176" s="59"/>
      <c r="F176" s="59"/>
      <c r="G176" s="59"/>
      <c r="H176" s="59"/>
      <c r="I176" s="1"/>
      <c r="J176" s="59"/>
      <c r="K176" s="59"/>
      <c r="L176" s="59"/>
      <c r="M176" s="59"/>
      <c r="N176" s="1"/>
    </row>
    <row r="177" spans="1:13" ht="12.75">
      <c r="A177" t="s">
        <v>75</v>
      </c>
      <c r="B177">
        <v>6756</v>
      </c>
      <c r="E177" s="94"/>
      <c r="F177" s="94"/>
      <c r="G177" s="94"/>
      <c r="H177" s="94"/>
      <c r="J177" s="94"/>
      <c r="K177" s="94"/>
      <c r="L177" s="94"/>
      <c r="M177" s="94"/>
    </row>
    <row r="178" spans="1:13" ht="12.75">
      <c r="A178" t="s">
        <v>76</v>
      </c>
      <c r="B178">
        <v>3276.8</v>
      </c>
      <c r="E178" s="94"/>
      <c r="F178" s="94"/>
      <c r="G178" s="94"/>
      <c r="H178" s="94"/>
      <c r="J178" s="94"/>
      <c r="K178" s="94"/>
      <c r="L178" s="94"/>
      <c r="M178" s="94"/>
    </row>
    <row r="179" spans="1:13" ht="12.75">
      <c r="A179" t="s">
        <v>77</v>
      </c>
      <c r="B179">
        <v>622.8</v>
      </c>
      <c r="E179" s="94"/>
      <c r="F179" s="94"/>
      <c r="G179" s="94"/>
      <c r="H179" s="94"/>
      <c r="J179" s="94"/>
      <c r="K179" s="94"/>
      <c r="L179" s="94"/>
      <c r="M179" s="94"/>
    </row>
    <row r="180" spans="2:13" ht="12.75">
      <c r="B180" s="82">
        <f>SUM(B177:B179)</f>
        <v>10655.6</v>
      </c>
      <c r="E180" s="94"/>
      <c r="F180" s="94"/>
      <c r="G180" s="94"/>
      <c r="H180" s="94"/>
      <c r="J180" s="94"/>
      <c r="K180" s="94"/>
      <c r="L180" s="94"/>
      <c r="M180" s="94"/>
    </row>
    <row r="181" spans="5:12" ht="12.75">
      <c r="E181" s="94"/>
      <c r="F181" s="94"/>
      <c r="G181" s="94"/>
      <c r="H181" s="94"/>
      <c r="J181" s="94"/>
      <c r="K181" s="94"/>
      <c r="L181" s="94"/>
    </row>
    <row r="182" spans="5:12" ht="12.75">
      <c r="E182" s="94"/>
      <c r="F182" s="94"/>
      <c r="G182" s="94"/>
      <c r="H182" s="94"/>
      <c r="J182" s="94"/>
      <c r="K182" s="94"/>
      <c r="L182" s="94"/>
    </row>
    <row r="183" spans="5:12" ht="12.75">
      <c r="E183" s="94"/>
      <c r="F183" s="94"/>
      <c r="G183" s="94"/>
      <c r="H183" s="94"/>
      <c r="J183" s="94"/>
      <c r="K183" s="94"/>
      <c r="L183" s="94"/>
    </row>
    <row r="184" spans="5:12" ht="12.75">
      <c r="E184" s="94"/>
      <c r="F184" s="94"/>
      <c r="G184" s="94"/>
      <c r="H184" s="94"/>
      <c r="J184" s="94"/>
      <c r="K184" s="94"/>
      <c r="L184" s="94"/>
    </row>
    <row r="185" spans="5:12" ht="12.75">
      <c r="E185" s="94"/>
      <c r="F185" s="94"/>
      <c r="G185" s="94"/>
      <c r="H185" s="94"/>
      <c r="J185" s="94"/>
      <c r="L185" s="94"/>
    </row>
    <row r="186" spans="5:12" ht="12.75">
      <c r="E186" s="94"/>
      <c r="F186" s="94"/>
      <c r="G186" s="94"/>
      <c r="H186" s="94"/>
      <c r="J186" s="94"/>
      <c r="L186" s="94"/>
    </row>
    <row r="187" spans="5:12" ht="12.75">
      <c r="E187" s="94"/>
      <c r="F187" s="94"/>
      <c r="G187" s="94"/>
      <c r="H187" s="94"/>
      <c r="J187" s="94"/>
      <c r="L187" s="94"/>
    </row>
    <row r="188" spans="7:8" ht="12.75">
      <c r="G188" s="94"/>
      <c r="H188" s="94"/>
    </row>
    <row r="189" spans="7:8" ht="12.75">
      <c r="G189" s="94"/>
      <c r="H189" s="94"/>
    </row>
    <row r="190" spans="7:8" ht="12.75">
      <c r="G190" s="94"/>
      <c r="H190" s="94"/>
    </row>
    <row r="191" spans="7:8" ht="12.75">
      <c r="G191" s="94"/>
      <c r="H191" s="94"/>
    </row>
    <row r="192" spans="7:8" ht="12.75">
      <c r="G192" s="94"/>
      <c r="H192" s="94"/>
    </row>
    <row r="193" spans="7:8" ht="12.75">
      <c r="G193" s="94"/>
      <c r="H193" s="94"/>
    </row>
    <row r="194" spans="7:8" ht="12.75">
      <c r="G194" s="94"/>
      <c r="H194" s="94"/>
    </row>
    <row r="195" ht="12.75">
      <c r="G195" s="94"/>
    </row>
    <row r="196" ht="12.75">
      <c r="G196" s="94"/>
    </row>
    <row r="197" ht="12.75">
      <c r="G197" s="94"/>
    </row>
    <row r="198" ht="12.75">
      <c r="G198" s="94"/>
    </row>
    <row r="199" ht="12.75">
      <c r="G199" s="94"/>
    </row>
    <row r="200" ht="12.75">
      <c r="G200" s="94"/>
    </row>
    <row r="201" ht="12.75">
      <c r="G201" s="94"/>
    </row>
    <row r="202" ht="12.75">
      <c r="G202" s="94"/>
    </row>
    <row r="203" ht="12.75">
      <c r="G203" s="94"/>
    </row>
    <row r="204" ht="12.75">
      <c r="G204" s="94"/>
    </row>
    <row r="205" ht="12.75">
      <c r="G205" s="94"/>
    </row>
    <row r="206" ht="12.75">
      <c r="G206" s="94"/>
    </row>
    <row r="207" ht="12.75">
      <c r="G207" s="94"/>
    </row>
    <row r="208" ht="12.75">
      <c r="G208" s="94"/>
    </row>
    <row r="209" ht="12.75">
      <c r="G209" s="94"/>
    </row>
    <row r="210" ht="12.75">
      <c r="G210" s="94"/>
    </row>
    <row r="211" ht="12.75">
      <c r="G211" s="94"/>
    </row>
    <row r="212" ht="12.75">
      <c r="G212" s="94"/>
    </row>
    <row r="213" ht="12.75">
      <c r="G213" s="94"/>
    </row>
    <row r="214" ht="12.75">
      <c r="G214" s="94"/>
    </row>
    <row r="215" ht="12.75">
      <c r="G215" s="94"/>
    </row>
    <row r="216" ht="12.75">
      <c r="G216" s="94"/>
    </row>
    <row r="217" ht="12.75">
      <c r="G217" s="94"/>
    </row>
    <row r="218" ht="12.75">
      <c r="G218" s="94"/>
    </row>
    <row r="219" ht="12.75">
      <c r="G219" s="94"/>
    </row>
    <row r="220" ht="12.75">
      <c r="G220" s="94"/>
    </row>
    <row r="221" ht="12.75">
      <c r="G221" s="94"/>
    </row>
    <row r="222" ht="12.75">
      <c r="G222" s="94"/>
    </row>
    <row r="223" ht="12.75">
      <c r="G223" s="94"/>
    </row>
    <row r="224" ht="12.75">
      <c r="G224" s="94"/>
    </row>
    <row r="225" ht="12.75">
      <c r="G225" s="94"/>
    </row>
    <row r="226" ht="12.75">
      <c r="G226" s="94"/>
    </row>
    <row r="227" ht="12.75">
      <c r="G227" s="94"/>
    </row>
    <row r="228" ht="12.75">
      <c r="G228" s="94"/>
    </row>
    <row r="229" ht="12.75">
      <c r="G229" s="94"/>
    </row>
    <row r="230" ht="12.75">
      <c r="G230" s="94"/>
    </row>
    <row r="231" ht="12.75">
      <c r="G231" s="94"/>
    </row>
    <row r="232" ht="12.75">
      <c r="G232" s="94"/>
    </row>
    <row r="233" ht="12.75">
      <c r="G233" s="94"/>
    </row>
    <row r="234" ht="12.75">
      <c r="G234" s="94"/>
    </row>
    <row r="235" ht="12.75">
      <c r="G235" s="94"/>
    </row>
    <row r="236" ht="12.75">
      <c r="G236" s="94"/>
    </row>
    <row r="237" ht="12.75">
      <c r="G237" s="94"/>
    </row>
    <row r="238" ht="12.75">
      <c r="G238" s="94"/>
    </row>
    <row r="239" ht="12.75">
      <c r="G239" s="94"/>
    </row>
    <row r="240" ht="12.75">
      <c r="G240" s="94"/>
    </row>
    <row r="241" ht="12.75">
      <c r="G241" s="94"/>
    </row>
    <row r="242" ht="12.75">
      <c r="G242" s="94"/>
    </row>
    <row r="243" ht="12.75">
      <c r="G243" s="9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3"/>
  <sheetViews>
    <sheetView zoomScale="81" zoomScaleNormal="81" workbookViewId="0" topLeftCell="E124">
      <selection activeCell="W149" sqref="W149"/>
    </sheetView>
  </sheetViews>
  <sheetFormatPr defaultColWidth="12.57421875" defaultRowHeight="12.75"/>
  <cols>
    <col min="1" max="1" width="23.00390625" style="0" customWidth="1"/>
    <col min="2" max="3" width="9.00390625" style="0" customWidth="1"/>
    <col min="4" max="4" width="10.140625" style="0" customWidth="1"/>
    <col min="5" max="5" width="9.00390625" style="94" customWidth="1"/>
    <col min="6" max="6" width="9.00390625" style="0" customWidth="1"/>
    <col min="7" max="7" width="10.140625" style="0" customWidth="1"/>
    <col min="8" max="8" width="9.00390625" style="0" customWidth="1"/>
    <col min="9" max="9" width="10.140625" style="0" customWidth="1"/>
    <col min="10" max="10" width="9.00390625" style="0" customWidth="1"/>
    <col min="11" max="11" width="10.140625" style="0" customWidth="1"/>
    <col min="12" max="13" width="9.00390625" style="0" customWidth="1"/>
    <col min="14" max="14" width="10.140625" style="0" customWidth="1"/>
    <col min="15" max="15" width="8.140625" style="0" customWidth="1"/>
    <col min="16" max="16" width="10.00390625" style="0" customWidth="1"/>
    <col min="17" max="17" width="6.7109375" style="0" customWidth="1"/>
    <col min="18" max="22" width="11.57421875" style="0" customWidth="1"/>
    <col min="23" max="23" width="24.57421875" style="0" customWidth="1"/>
    <col min="24" max="16384" width="11.57421875" style="0" customWidth="1"/>
  </cols>
  <sheetData>
    <row r="1" spans="4:13" ht="12.75">
      <c r="D1" s="94"/>
      <c r="F1" s="94"/>
      <c r="G1" s="94"/>
      <c r="H1" s="94"/>
      <c r="I1" s="94"/>
      <c r="L1" s="94"/>
      <c r="M1" s="26" t="s">
        <v>98</v>
      </c>
    </row>
    <row r="2" spans="1:13" ht="12.75">
      <c r="A2" s="71">
        <v>2012</v>
      </c>
      <c r="B2" t="s">
        <v>0</v>
      </c>
      <c r="D2" s="94"/>
      <c r="F2" s="94"/>
      <c r="G2" s="94"/>
      <c r="H2" s="94"/>
      <c r="I2" s="94"/>
      <c r="L2" s="94"/>
      <c r="M2" s="27" t="s">
        <v>24</v>
      </c>
    </row>
    <row r="3" spans="1:17" ht="12.75">
      <c r="A3" s="2"/>
      <c r="B3" s="2"/>
      <c r="C3" s="2"/>
      <c r="D3" s="88"/>
      <c r="E3" s="88"/>
      <c r="F3" s="88"/>
      <c r="G3" s="88"/>
      <c r="H3" s="88"/>
      <c r="I3" s="88"/>
      <c r="J3" s="2"/>
      <c r="K3" s="2"/>
      <c r="L3" s="88"/>
      <c r="M3" s="3"/>
      <c r="N3" s="4"/>
      <c r="O3" s="28"/>
      <c r="P3" s="29" t="s">
        <v>99</v>
      </c>
      <c r="Q3" s="30"/>
    </row>
    <row r="4" spans="1:17" ht="12.75">
      <c r="A4" s="5" t="s">
        <v>1</v>
      </c>
      <c r="B4" s="6" t="s">
        <v>2</v>
      </c>
      <c r="C4" s="6" t="s">
        <v>3</v>
      </c>
      <c r="D4" s="99" t="s">
        <v>4</v>
      </c>
      <c r="E4" s="99" t="s">
        <v>5</v>
      </c>
      <c r="F4" s="99" t="s">
        <v>6</v>
      </c>
      <c r="G4" s="99" t="s">
        <v>7</v>
      </c>
      <c r="H4" s="99" t="s">
        <v>8</v>
      </c>
      <c r="I4" s="99" t="s">
        <v>9</v>
      </c>
      <c r="J4" s="6" t="s">
        <v>10</v>
      </c>
      <c r="K4" s="99" t="s">
        <v>11</v>
      </c>
      <c r="L4" s="99" t="s">
        <v>12</v>
      </c>
      <c r="M4" s="7" t="s">
        <v>13</v>
      </c>
      <c r="N4" s="8" t="s">
        <v>14</v>
      </c>
      <c r="O4" s="31" t="s">
        <v>47</v>
      </c>
      <c r="P4" s="32"/>
      <c r="Q4" s="33" t="s">
        <v>47</v>
      </c>
    </row>
    <row r="5" spans="1:17" ht="12.75">
      <c r="A5" s="9"/>
      <c r="B5" s="10"/>
      <c r="C5" s="10"/>
      <c r="D5" s="91"/>
      <c r="E5" s="91"/>
      <c r="F5" s="91"/>
      <c r="G5" s="91"/>
      <c r="H5" s="91"/>
      <c r="I5" s="91"/>
      <c r="J5" s="10"/>
      <c r="K5" s="91"/>
      <c r="L5" s="91"/>
      <c r="M5" s="11"/>
      <c r="N5" s="12"/>
      <c r="O5" s="34"/>
      <c r="P5" s="32" t="s">
        <v>48</v>
      </c>
      <c r="Q5" s="35" t="s">
        <v>49</v>
      </c>
    </row>
    <row r="6" spans="1:17" ht="12.75">
      <c r="A6" s="5"/>
      <c r="B6" s="13"/>
      <c r="C6" s="13"/>
      <c r="D6" s="86"/>
      <c r="E6" s="86"/>
      <c r="F6" s="86"/>
      <c r="G6" s="86"/>
      <c r="H6" s="86"/>
      <c r="I6" s="86"/>
      <c r="J6" s="86"/>
      <c r="K6" s="86"/>
      <c r="L6" s="86"/>
      <c r="M6" s="14"/>
      <c r="N6" s="15"/>
      <c r="O6" s="31"/>
      <c r="P6" s="36"/>
      <c r="Q6" s="37"/>
    </row>
    <row r="7" spans="1:17" ht="12.75">
      <c r="A7" s="5" t="s">
        <v>15</v>
      </c>
      <c r="B7" s="16">
        <v>1550</v>
      </c>
      <c r="C7" s="83">
        <v>1550</v>
      </c>
      <c r="D7" s="83">
        <v>1550</v>
      </c>
      <c r="E7" s="83">
        <v>1550</v>
      </c>
      <c r="F7" s="83">
        <v>1650</v>
      </c>
      <c r="G7" s="83">
        <v>1550</v>
      </c>
      <c r="H7" s="83">
        <v>1550</v>
      </c>
      <c r="I7" s="83">
        <v>1550</v>
      </c>
      <c r="J7" s="83">
        <v>1550</v>
      </c>
      <c r="K7" s="83">
        <v>1550</v>
      </c>
      <c r="L7" s="83">
        <f>1550+140+100</f>
        <v>1790</v>
      </c>
      <c r="M7" s="83">
        <v>1550</v>
      </c>
      <c r="N7" s="18">
        <f>SUM(B7:M7)</f>
        <v>18940</v>
      </c>
      <c r="O7" s="31">
        <f>N7/6756/12</f>
        <v>0.23361949871718965</v>
      </c>
      <c r="P7" s="38">
        <v>21000</v>
      </c>
      <c r="Q7" s="39">
        <f>P7/6756/12</f>
        <v>0.2590290112492599</v>
      </c>
    </row>
    <row r="8" spans="1:17" ht="12.75">
      <c r="A8" s="19"/>
      <c r="B8" s="16"/>
      <c r="C8" s="83"/>
      <c r="D8" s="83"/>
      <c r="E8" s="83"/>
      <c r="F8" s="83"/>
      <c r="G8" s="83"/>
      <c r="H8" s="83"/>
      <c r="I8" s="83"/>
      <c r="J8" s="83"/>
      <c r="K8" s="84"/>
      <c r="L8" s="83"/>
      <c r="M8" s="85"/>
      <c r="N8" s="18"/>
      <c r="O8" s="31"/>
      <c r="P8" s="38"/>
      <c r="Q8" s="39"/>
    </row>
    <row r="9" spans="1:17" ht="12.75">
      <c r="A9" s="5" t="s">
        <v>16</v>
      </c>
      <c r="B9" s="16">
        <v>763.73</v>
      </c>
      <c r="C9" s="83"/>
      <c r="D9" s="83">
        <v>785.8</v>
      </c>
      <c r="E9" s="83"/>
      <c r="F9" s="83">
        <v>671.33</v>
      </c>
      <c r="G9" s="83"/>
      <c r="H9" s="83">
        <v>654.55</v>
      </c>
      <c r="I9" s="83"/>
      <c r="J9" s="83">
        <v>610.84</v>
      </c>
      <c r="K9" s="84"/>
      <c r="L9" s="83">
        <v>849.46</v>
      </c>
      <c r="M9" s="85"/>
      <c r="N9" s="18">
        <f>SUM(B9:M9)</f>
        <v>4335.710000000001</v>
      </c>
      <c r="O9" s="31">
        <f>N9/6756/12</f>
        <v>0.053479746398263285</v>
      </c>
      <c r="P9" s="38">
        <v>5200</v>
      </c>
      <c r="Q9" s="39">
        <f>P9/6756/12</f>
        <v>0.06414051707124531</v>
      </c>
    </row>
    <row r="10" spans="1:17" ht="12.75">
      <c r="A10" s="5"/>
      <c r="B10" s="16"/>
      <c r="C10" s="83"/>
      <c r="D10" s="83"/>
      <c r="E10" s="83"/>
      <c r="F10" s="83"/>
      <c r="G10" s="83"/>
      <c r="H10" s="83"/>
      <c r="I10" s="83"/>
      <c r="J10" s="83"/>
      <c r="K10" s="84"/>
      <c r="L10" s="83"/>
      <c r="M10" s="85"/>
      <c r="N10" s="18"/>
      <c r="O10" s="31"/>
      <c r="P10" s="38"/>
      <c r="Q10" s="39"/>
    </row>
    <row r="11" spans="1:17" ht="12.75">
      <c r="A11" s="5" t="s">
        <v>100</v>
      </c>
      <c r="B11" s="16"/>
      <c r="C11" s="83"/>
      <c r="D11" s="83"/>
      <c r="E11" s="83"/>
      <c r="F11" s="83"/>
      <c r="G11" s="83"/>
      <c r="H11" s="83"/>
      <c r="I11" s="83">
        <v>2491.72</v>
      </c>
      <c r="J11" s="83"/>
      <c r="K11" s="84"/>
      <c r="L11" s="83"/>
      <c r="M11" s="85">
        <v>3939.6</v>
      </c>
      <c r="N11" s="18">
        <f>SUM(B11:M11)</f>
        <v>6431.32</v>
      </c>
      <c r="O11" s="31">
        <f>N11/6756/12</f>
        <v>0.07932849812512334</v>
      </c>
      <c r="P11" s="38">
        <v>3200</v>
      </c>
      <c r="Q11" s="39">
        <f>P11/6756/12</f>
        <v>0.03947108742845865</v>
      </c>
    </row>
    <row r="12" spans="1:17" ht="12.75">
      <c r="A12" s="5"/>
      <c r="B12" s="16"/>
      <c r="C12" s="83"/>
      <c r="D12" s="83"/>
      <c r="E12" s="83"/>
      <c r="F12" s="83"/>
      <c r="G12" s="83"/>
      <c r="H12" s="83"/>
      <c r="I12" s="83"/>
      <c r="J12" s="83"/>
      <c r="K12" s="84"/>
      <c r="L12" s="83"/>
      <c r="M12" s="85"/>
      <c r="N12" s="18"/>
      <c r="O12" s="31"/>
      <c r="P12" s="38"/>
      <c r="Q12" s="39"/>
    </row>
    <row r="13" spans="1:17" ht="12.75">
      <c r="A13" s="5" t="s">
        <v>18</v>
      </c>
      <c r="B13" s="16">
        <v>260.8</v>
      </c>
      <c r="C13" s="83">
        <f>290+580</f>
        <v>870</v>
      </c>
      <c r="D13" s="83">
        <v>830.05</v>
      </c>
      <c r="E13" s="83">
        <v>260.04</v>
      </c>
      <c r="F13" s="83">
        <v>260.04</v>
      </c>
      <c r="G13" s="83">
        <v>260.01</v>
      </c>
      <c r="H13" s="83">
        <v>260</v>
      </c>
      <c r="I13" s="83">
        <v>260</v>
      </c>
      <c r="J13" s="83">
        <v>340.16</v>
      </c>
      <c r="K13" s="83">
        <v>260.04</v>
      </c>
      <c r="L13" s="83">
        <v>260</v>
      </c>
      <c r="M13" s="83">
        <v>270.01</v>
      </c>
      <c r="N13" s="18">
        <f>SUM(B13:M13)</f>
        <v>4391.150000000001</v>
      </c>
      <c r="O13" s="31">
        <f>N13/6756/12</f>
        <v>0.05416358298796132</v>
      </c>
      <c r="P13" s="38">
        <v>8800</v>
      </c>
      <c r="Q13" s="39">
        <f>P13/6756/12</f>
        <v>0.1085454904282613</v>
      </c>
    </row>
    <row r="14" spans="1:17" ht="12.75">
      <c r="A14" s="5"/>
      <c r="B14" s="16"/>
      <c r="C14" s="83"/>
      <c r="D14" s="83"/>
      <c r="E14" s="83"/>
      <c r="F14" s="83"/>
      <c r="G14" s="83"/>
      <c r="H14" s="83"/>
      <c r="I14" s="83"/>
      <c r="J14" s="83"/>
      <c r="K14" s="84"/>
      <c r="L14" s="83"/>
      <c r="M14" s="85"/>
      <c r="N14" s="18"/>
      <c r="O14" s="31"/>
      <c r="P14" s="38"/>
      <c r="Q14" s="39"/>
    </row>
    <row r="15" spans="1:17" ht="12.75">
      <c r="A15" s="5" t="s">
        <v>19</v>
      </c>
      <c r="B15" s="16"/>
      <c r="C15" s="83"/>
      <c r="D15" s="83"/>
      <c r="E15" s="83"/>
      <c r="F15" s="83"/>
      <c r="G15" s="83">
        <v>1420</v>
      </c>
      <c r="H15" s="83"/>
      <c r="I15" s="83">
        <v>2600</v>
      </c>
      <c r="J15" s="83"/>
      <c r="K15" s="84"/>
      <c r="L15" s="83">
        <v>1749.6</v>
      </c>
      <c r="M15" s="85"/>
      <c r="N15" s="18">
        <f>SUM(B15:M15)</f>
        <v>5769.6</v>
      </c>
      <c r="O15" s="31">
        <f>N15/6756/12</f>
        <v>0.07116637063351096</v>
      </c>
      <c r="P15" s="38">
        <v>6000</v>
      </c>
      <c r="Q15" s="39">
        <f>P15/6756/12</f>
        <v>0.07400828892835998</v>
      </c>
    </row>
    <row r="16" spans="1:17" ht="12.75">
      <c r="A16" s="5"/>
      <c r="B16" s="16"/>
      <c r="C16" s="83"/>
      <c r="D16" s="83"/>
      <c r="E16" s="83"/>
      <c r="F16" s="83"/>
      <c r="G16" s="83"/>
      <c r="H16" s="83"/>
      <c r="I16" s="83"/>
      <c r="J16" s="83"/>
      <c r="K16" s="84"/>
      <c r="L16" s="83"/>
      <c r="M16" s="85"/>
      <c r="N16" s="18"/>
      <c r="O16" s="31"/>
      <c r="P16" s="38"/>
      <c r="Q16" s="39"/>
    </row>
    <row r="17" spans="1:17" ht="12.75">
      <c r="A17" s="5" t="s">
        <v>20</v>
      </c>
      <c r="B17" s="16"/>
      <c r="C17" s="83">
        <v>303.38</v>
      </c>
      <c r="D17" s="83">
        <f>319.84+71.96</f>
        <v>391.79999999999995</v>
      </c>
      <c r="E17" s="83">
        <v>521.27</v>
      </c>
      <c r="F17" s="83"/>
      <c r="G17" s="83"/>
      <c r="H17" s="83"/>
      <c r="I17" s="83"/>
      <c r="J17" s="83"/>
      <c r="K17" s="84">
        <v>117.68</v>
      </c>
      <c r="L17" s="83">
        <v>246.94</v>
      </c>
      <c r="M17" s="85">
        <v>33.63</v>
      </c>
      <c r="N17" s="18">
        <f>SUM(B17:M17)</f>
        <v>1614.7000000000003</v>
      </c>
      <c r="O17" s="31">
        <f>N17/6756/12</f>
        <v>0.01991686402210381</v>
      </c>
      <c r="P17" s="38">
        <v>2200</v>
      </c>
      <c r="Q17" s="39">
        <f>P17/6756/12</f>
        <v>0.027136372607065324</v>
      </c>
    </row>
    <row r="18" spans="1:17" ht="12.75">
      <c r="A18" s="5"/>
      <c r="B18" s="16"/>
      <c r="C18" s="83"/>
      <c r="D18" s="83"/>
      <c r="E18" s="83"/>
      <c r="F18" s="83"/>
      <c r="G18" s="83"/>
      <c r="H18" s="83"/>
      <c r="I18" s="83"/>
      <c r="J18" s="83"/>
      <c r="K18" s="84"/>
      <c r="L18" s="83"/>
      <c r="M18" s="85"/>
      <c r="N18" s="18"/>
      <c r="O18" s="31"/>
      <c r="P18" s="38"/>
      <c r="Q18" s="39"/>
    </row>
    <row r="19" spans="1:17" ht="12.75">
      <c r="A19" s="5" t="s">
        <v>101</v>
      </c>
      <c r="B19" s="16"/>
      <c r="C19" s="83"/>
      <c r="D19" s="83">
        <v>1334.43</v>
      </c>
      <c r="E19" s="83">
        <v>1673.6</v>
      </c>
      <c r="F19" s="83"/>
      <c r="G19" s="83"/>
      <c r="H19" s="83">
        <v>100</v>
      </c>
      <c r="I19" s="83"/>
      <c r="J19" s="83"/>
      <c r="K19" s="84"/>
      <c r="L19" s="83"/>
      <c r="M19" s="85"/>
      <c r="N19" s="18">
        <f>SUM(B19:M19)</f>
        <v>3108.0299999999997</v>
      </c>
      <c r="O19" s="31"/>
      <c r="P19" s="38"/>
      <c r="Q19" s="39"/>
    </row>
    <row r="20" spans="1:17" ht="12.75">
      <c r="A20" s="5"/>
      <c r="B20" s="16"/>
      <c r="C20" s="83"/>
      <c r="D20" s="83"/>
      <c r="E20" s="83"/>
      <c r="F20" s="83"/>
      <c r="G20" s="83"/>
      <c r="H20" s="83"/>
      <c r="I20" s="83"/>
      <c r="J20" s="83"/>
      <c r="K20" s="84"/>
      <c r="L20" s="83"/>
      <c r="M20" s="85"/>
      <c r="N20" s="18"/>
      <c r="O20" s="31"/>
      <c r="P20" s="38"/>
      <c r="Q20" s="39"/>
    </row>
    <row r="21" spans="1:17" ht="12.75">
      <c r="A21" s="5" t="s">
        <v>23</v>
      </c>
      <c r="B21" s="16"/>
      <c r="C21" s="83">
        <v>1343</v>
      </c>
      <c r="D21" s="83"/>
      <c r="E21" s="83"/>
      <c r="F21" s="83"/>
      <c r="G21" s="83"/>
      <c r="H21" s="83"/>
      <c r="I21" s="83">
        <v>1343</v>
      </c>
      <c r="J21" s="83"/>
      <c r="K21" s="84"/>
      <c r="L21" s="83"/>
      <c r="M21" s="85"/>
      <c r="N21" s="18">
        <f>SUM(B21:M21)</f>
        <v>2686</v>
      </c>
      <c r="O21" s="31">
        <f>N21/6756/12</f>
        <v>0.033131044010262484</v>
      </c>
      <c r="P21" s="38">
        <v>3000</v>
      </c>
      <c r="Q21" s="39">
        <f>P21/6756/12</f>
        <v>0.03700414446417999</v>
      </c>
    </row>
    <row r="22" spans="1:17" ht="12.75">
      <c r="A22" s="5"/>
      <c r="B22" s="16"/>
      <c r="C22" s="83"/>
      <c r="D22" s="83"/>
      <c r="E22" s="83"/>
      <c r="F22" s="83"/>
      <c r="G22" s="83"/>
      <c r="H22" s="83"/>
      <c r="I22" s="83"/>
      <c r="J22" s="83"/>
      <c r="K22" s="84"/>
      <c r="L22" s="83"/>
      <c r="M22" s="85"/>
      <c r="N22" s="18"/>
      <c r="O22" s="31"/>
      <c r="P22" s="38"/>
      <c r="Q22" s="39"/>
    </row>
    <row r="23" spans="1:17" ht="12.75">
      <c r="A23" s="5" t="s">
        <v>51</v>
      </c>
      <c r="B23" s="16"/>
      <c r="C23" s="83"/>
      <c r="D23" s="83"/>
      <c r="E23" s="83"/>
      <c r="F23" s="83"/>
      <c r="G23" s="83"/>
      <c r="H23" s="83"/>
      <c r="I23" s="83"/>
      <c r="J23" s="83"/>
      <c r="K23" s="84"/>
      <c r="L23" s="83"/>
      <c r="M23" s="85"/>
      <c r="N23" s="18">
        <f>SUM(B23:M23)</f>
        <v>0</v>
      </c>
      <c r="O23" s="31">
        <f>N23/6756/12</f>
        <v>0</v>
      </c>
      <c r="P23" s="38">
        <v>0</v>
      </c>
      <c r="Q23" s="40">
        <f>P23/6756/12</f>
        <v>0</v>
      </c>
    </row>
    <row r="24" spans="1:17" ht="12.75">
      <c r="A24" s="5"/>
      <c r="B24" s="16"/>
      <c r="C24" s="83"/>
      <c r="D24" s="83"/>
      <c r="E24" s="83"/>
      <c r="F24" s="83"/>
      <c r="G24" s="83"/>
      <c r="H24" s="83"/>
      <c r="I24" s="83"/>
      <c r="J24" s="83"/>
      <c r="K24" s="84"/>
      <c r="L24" s="83"/>
      <c r="M24" s="85"/>
      <c r="N24" s="18"/>
      <c r="O24" s="31"/>
      <c r="P24" s="38"/>
      <c r="Q24" s="39"/>
    </row>
    <row r="25" spans="1:17" ht="12.75">
      <c r="A25" s="5" t="s">
        <v>25</v>
      </c>
      <c r="B25" s="16">
        <v>3632.55</v>
      </c>
      <c r="C25" s="83">
        <v>4234.3</v>
      </c>
      <c r="D25" s="83">
        <v>4062.48</v>
      </c>
      <c r="E25" s="83">
        <v>4319.16</v>
      </c>
      <c r="F25" s="83">
        <v>3278.32</v>
      </c>
      <c r="G25" s="83">
        <v>4720.8</v>
      </c>
      <c r="H25" s="83">
        <v>4288.83</v>
      </c>
      <c r="I25" s="83">
        <v>4936.04</v>
      </c>
      <c r="J25" s="83">
        <v>4088.22</v>
      </c>
      <c r="K25" s="84">
        <v>6093.66</v>
      </c>
      <c r="L25" s="83">
        <v>6782.14</v>
      </c>
      <c r="M25" s="85">
        <v>5899.36</v>
      </c>
      <c r="N25" s="18">
        <f>SUM(B25:M25)</f>
        <v>56335.86</v>
      </c>
      <c r="O25" s="107">
        <f>N25/6756/12</f>
        <v>0.6948867673179396</v>
      </c>
      <c r="P25" s="38">
        <v>54500</v>
      </c>
      <c r="Q25" s="39">
        <f>P25/6756/12</f>
        <v>0.6722419577659364</v>
      </c>
    </row>
    <row r="26" spans="1:17" ht="12.75">
      <c r="A26" s="5"/>
      <c r="B26" s="16"/>
      <c r="C26" s="83"/>
      <c r="D26" s="83"/>
      <c r="E26" s="83"/>
      <c r="F26" s="83"/>
      <c r="G26" s="83"/>
      <c r="H26" s="83"/>
      <c r="I26" s="83"/>
      <c r="J26" s="83"/>
      <c r="K26" s="84"/>
      <c r="L26" s="83"/>
      <c r="M26" s="85"/>
      <c r="N26" s="18"/>
      <c r="O26" s="31"/>
      <c r="P26" s="38"/>
      <c r="Q26" s="39"/>
    </row>
    <row r="27" spans="1:17" ht="12.75">
      <c r="A27" s="5" t="s">
        <v>52</v>
      </c>
      <c r="B27" s="16">
        <v>747.79</v>
      </c>
      <c r="C27" s="83">
        <v>699.47</v>
      </c>
      <c r="D27" s="83">
        <v>1285.08</v>
      </c>
      <c r="E27" s="83">
        <v>948.03</v>
      </c>
      <c r="F27" s="83">
        <v>617.12</v>
      </c>
      <c r="G27" s="83">
        <v>647.72</v>
      </c>
      <c r="H27" s="83">
        <v>214.85</v>
      </c>
      <c r="I27" s="83">
        <v>901.45</v>
      </c>
      <c r="J27" s="83">
        <v>3417.56</v>
      </c>
      <c r="K27" s="84">
        <v>532.47</v>
      </c>
      <c r="L27" s="83">
        <v>292.96</v>
      </c>
      <c r="M27" s="85">
        <v>54.69</v>
      </c>
      <c r="N27" s="18">
        <f>SUM(B27:M27)</f>
        <v>10359.189999999999</v>
      </c>
      <c r="O27" s="41">
        <f>N27/6756/12</f>
        <v>0.12777765443062955</v>
      </c>
      <c r="P27" s="38">
        <v>12000</v>
      </c>
      <c r="Q27" s="40">
        <f>P27/6756/12</f>
        <v>0.14801657785671996</v>
      </c>
    </row>
    <row r="28" spans="1:17" ht="12.75">
      <c r="A28" s="5"/>
      <c r="B28" s="16"/>
      <c r="C28" s="83"/>
      <c r="D28" s="83"/>
      <c r="E28" s="83"/>
      <c r="F28" s="83"/>
      <c r="G28" s="83"/>
      <c r="H28" s="83"/>
      <c r="I28" s="83"/>
      <c r="J28" s="83"/>
      <c r="K28" s="84"/>
      <c r="L28" s="83"/>
      <c r="M28" s="85"/>
      <c r="N28" s="18"/>
      <c r="O28" s="31"/>
      <c r="P28" s="38"/>
      <c r="Q28" s="39"/>
    </row>
    <row r="29" spans="1:17" ht="12.75">
      <c r="A29" s="5" t="s">
        <v>53</v>
      </c>
      <c r="B29" s="16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5"/>
      <c r="N29" s="18">
        <f>SUM(B29:M29)</f>
        <v>0</v>
      </c>
      <c r="O29" s="31">
        <f>N29/6756/12</f>
        <v>0</v>
      </c>
      <c r="P29" s="38">
        <v>-2800</v>
      </c>
      <c r="Q29" s="39">
        <f>P29/6756/12</f>
        <v>-0.034537201499901325</v>
      </c>
    </row>
    <row r="30" spans="1:17" ht="12.75">
      <c r="A30" s="5"/>
      <c r="B30" s="1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15"/>
      <c r="O30" s="31"/>
      <c r="P30" s="42"/>
      <c r="Q30" s="43"/>
    </row>
    <row r="31" spans="1:17" ht="12.75">
      <c r="A31" s="20"/>
      <c r="B31" s="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4"/>
      <c r="O31" s="28"/>
      <c r="P31" s="44"/>
      <c r="Q31" s="33"/>
    </row>
    <row r="32" spans="1:17" ht="12.75">
      <c r="A32" s="22"/>
      <c r="B32" s="16">
        <f>SUM(B7:B29)</f>
        <v>6954.87</v>
      </c>
      <c r="C32" s="83">
        <f>SUM(C7:C29)</f>
        <v>9000.150000000001</v>
      </c>
      <c r="D32" s="83">
        <f>SUM(D7:D29)</f>
        <v>10239.64</v>
      </c>
      <c r="E32" s="83">
        <f>SUM(E7:E29)</f>
        <v>9272.099999999999</v>
      </c>
      <c r="F32" s="83">
        <f>SUM(F7:F29)</f>
        <v>6476.81</v>
      </c>
      <c r="G32" s="83">
        <f>SUM(G7:G29)</f>
        <v>8598.53</v>
      </c>
      <c r="H32" s="83">
        <f>SUM(H7:H29)</f>
        <v>7068.2300000000005</v>
      </c>
      <c r="I32" s="83">
        <f>SUM(I7:I29)</f>
        <v>14082.21</v>
      </c>
      <c r="J32" s="83">
        <f>SUM(J7:J29)</f>
        <v>10006.779999999999</v>
      </c>
      <c r="K32" s="83">
        <f>SUM(K7:K29)</f>
        <v>8553.85</v>
      </c>
      <c r="L32" s="83">
        <f>SUM(L7:L29)</f>
        <v>11971.099999999999</v>
      </c>
      <c r="M32" s="90">
        <f>SUM(M7:M29)</f>
        <v>11747.289999999999</v>
      </c>
      <c r="N32" s="18">
        <f>SUM(N7:N29)</f>
        <v>113971.56</v>
      </c>
      <c r="O32" s="18">
        <f>SUM(O7:O29)</f>
        <v>1.3674700266429838</v>
      </c>
      <c r="P32" s="44">
        <f>SUM(P7:P29)</f>
        <v>113100</v>
      </c>
      <c r="Q32" s="45">
        <f>SUM(Q7:Q29)</f>
        <v>1.3950562462995855</v>
      </c>
    </row>
    <row r="33" spans="1:17" ht="12.75">
      <c r="A33" s="24"/>
      <c r="B33" s="1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12"/>
      <c r="O33" s="34"/>
      <c r="P33" s="46"/>
      <c r="Q33" s="43"/>
    </row>
    <row r="34" spans="1:17" ht="12.75">
      <c r="A34" s="47" t="s">
        <v>53</v>
      </c>
      <c r="B34" s="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48"/>
      <c r="O34" s="49"/>
      <c r="P34" s="50"/>
      <c r="Q34" s="51"/>
    </row>
    <row r="35" spans="1:17" ht="12.75">
      <c r="A35" s="5" t="s">
        <v>54</v>
      </c>
      <c r="B35" s="16">
        <f>(B32-B23-B29)/6756*755</f>
        <v>777.2242229129662</v>
      </c>
      <c r="C35" s="83">
        <f>(C32-C23-C29)/6756*755</f>
        <v>1005.7894094138545</v>
      </c>
      <c r="D35" s="83">
        <f>(D32-D23-D29)/6756*825</f>
        <v>1250.4000888099467</v>
      </c>
      <c r="E35" s="83">
        <f>(E32-E23-E29)/6756*825</f>
        <v>1132.2502220248666</v>
      </c>
      <c r="F35" s="83">
        <f>(F32-F23-F29)/6756*825</f>
        <v>790.9070825932505</v>
      </c>
      <c r="G35" s="83">
        <f>(G32-G23-G29)/6756*951</f>
        <v>1210.3614609236233</v>
      </c>
      <c r="H35" s="83">
        <f>(H32-H23-H29)/6756*951</f>
        <v>994.9506705150977</v>
      </c>
      <c r="I35" s="83">
        <f>(I32-I23-I29)/6756*951</f>
        <v>1982.2649067495556</v>
      </c>
      <c r="J35" s="83">
        <f>(J32-J23-J29)/6756*951</f>
        <v>1408.5920337477796</v>
      </c>
      <c r="K35" s="83">
        <f>(K32-K23-K29)/6756*951</f>
        <v>1204.0721358792186</v>
      </c>
      <c r="L35" s="83">
        <f>(L32-L23-L29)/6756*951</f>
        <v>1685.0971136767316</v>
      </c>
      <c r="M35" s="83">
        <f>(M32-M23-M29)/6756*951</f>
        <v>1653.5927753108347</v>
      </c>
      <c r="N35" s="16">
        <f>SUM(B35:M35)</f>
        <v>15095.502122557726</v>
      </c>
      <c r="O35" s="52">
        <f>O32</f>
        <v>1.3674700266429838</v>
      </c>
      <c r="P35" s="53">
        <f>P32</f>
        <v>113100</v>
      </c>
      <c r="Q35" s="52">
        <f>Q32</f>
        <v>1.3950562462995855</v>
      </c>
    </row>
    <row r="36" spans="1:17" ht="12.75">
      <c r="A36" s="9" t="s">
        <v>80</v>
      </c>
      <c r="B36" s="1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12"/>
      <c r="O36" s="54"/>
      <c r="P36" s="55"/>
      <c r="Q36" s="56"/>
    </row>
    <row r="37" spans="3:13" ht="12.75">
      <c r="C37" s="94"/>
      <c r="D37" s="94"/>
      <c r="F37" s="94"/>
      <c r="G37" s="94"/>
      <c r="H37" s="94"/>
      <c r="I37" s="94"/>
      <c r="J37" s="94"/>
      <c r="K37" s="94"/>
      <c r="L37" s="94"/>
      <c r="M37" s="94"/>
    </row>
    <row r="38" spans="1:17" ht="12.75">
      <c r="A38" t="s">
        <v>55</v>
      </c>
      <c r="B38">
        <v>755</v>
      </c>
      <c r="C38" s="94">
        <v>755</v>
      </c>
      <c r="D38" s="94">
        <v>825</v>
      </c>
      <c r="E38" s="94">
        <v>825</v>
      </c>
      <c r="F38" s="94">
        <v>825</v>
      </c>
      <c r="G38" s="94">
        <v>951</v>
      </c>
      <c r="H38" s="94">
        <v>951</v>
      </c>
      <c r="I38" s="94">
        <v>951</v>
      </c>
      <c r="J38" s="95">
        <v>951</v>
      </c>
      <c r="K38" s="95">
        <v>951</v>
      </c>
      <c r="L38" s="95">
        <v>951</v>
      </c>
      <c r="M38" s="95">
        <v>951</v>
      </c>
      <c r="P38" s="58"/>
      <c r="Q38" s="59"/>
    </row>
    <row r="39" spans="3:13" ht="12.75">
      <c r="C39" s="94"/>
      <c r="D39" s="94"/>
      <c r="F39" s="94"/>
      <c r="G39" s="94"/>
      <c r="H39" s="94"/>
      <c r="I39" s="94"/>
      <c r="J39" s="94"/>
      <c r="K39" s="94"/>
      <c r="L39" s="94"/>
      <c r="M39" s="94"/>
    </row>
    <row r="40" spans="3:13" ht="12.75">
      <c r="C40" s="94"/>
      <c r="D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t="s">
        <v>56</v>
      </c>
      <c r="C41" s="94"/>
      <c r="D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t="s">
        <v>57</v>
      </c>
      <c r="C42" s="94"/>
      <c r="D42" s="94"/>
      <c r="F42" s="94"/>
      <c r="G42" s="94"/>
      <c r="H42" s="94"/>
      <c r="I42" s="94"/>
      <c r="J42" s="94"/>
      <c r="K42" s="94"/>
      <c r="L42" s="94"/>
      <c r="M42" s="94"/>
    </row>
    <row r="43" spans="3:13" ht="12.75">
      <c r="C43" s="94"/>
      <c r="D43" s="94"/>
      <c r="F43" s="94"/>
      <c r="G43" s="94"/>
      <c r="H43" s="94"/>
      <c r="I43" s="94"/>
      <c r="J43" s="94"/>
      <c r="K43" s="94"/>
      <c r="L43" s="94"/>
      <c r="M43" s="94"/>
    </row>
    <row r="44" spans="3:13" ht="12.75">
      <c r="C44" s="94"/>
      <c r="D44" s="94"/>
      <c r="F44" s="94"/>
      <c r="G44" s="94"/>
      <c r="H44" s="94"/>
      <c r="I44" s="94"/>
      <c r="J44" s="94"/>
      <c r="K44" s="94"/>
      <c r="L44" s="94"/>
      <c r="M44" s="94"/>
    </row>
    <row r="45" spans="3:13" ht="12.75">
      <c r="C45" s="94"/>
      <c r="D45" s="94"/>
      <c r="F45" s="94"/>
      <c r="G45" s="94"/>
      <c r="H45" s="94"/>
      <c r="I45" s="94"/>
      <c r="J45" s="94"/>
      <c r="K45" s="94"/>
      <c r="L45" s="94"/>
      <c r="M45" s="94"/>
    </row>
    <row r="46" spans="3:13" ht="12.75">
      <c r="C46" s="94"/>
      <c r="D46" s="94"/>
      <c r="F46" s="94"/>
      <c r="G46" s="94"/>
      <c r="H46" s="94"/>
      <c r="I46" s="94"/>
      <c r="J46" s="94"/>
      <c r="K46" s="94"/>
      <c r="L46" s="94"/>
      <c r="M46" s="94"/>
    </row>
    <row r="47" spans="3:13" ht="12.75">
      <c r="C47" s="94"/>
      <c r="D47" s="94"/>
      <c r="F47" s="94"/>
      <c r="G47" s="94"/>
      <c r="H47" s="94"/>
      <c r="I47" s="94"/>
      <c r="J47" s="94"/>
      <c r="K47" s="94"/>
      <c r="L47" s="94"/>
      <c r="M47" s="94"/>
    </row>
    <row r="48" spans="3:13" ht="12.75">
      <c r="C48" s="94"/>
      <c r="D48" s="94"/>
      <c r="F48" s="94"/>
      <c r="G48" s="94"/>
      <c r="H48" s="94"/>
      <c r="I48" s="94"/>
      <c r="J48" s="94"/>
      <c r="K48" s="94"/>
      <c r="L48" s="94"/>
      <c r="M48" s="94"/>
    </row>
    <row r="49" spans="2:13" ht="12.75">
      <c r="B49" s="108"/>
      <c r="C49" s="94"/>
      <c r="D49" s="94"/>
      <c r="F49" s="94"/>
      <c r="G49" s="94"/>
      <c r="H49" s="94"/>
      <c r="I49" s="94"/>
      <c r="J49" s="94"/>
      <c r="K49" s="94"/>
      <c r="L49" s="94"/>
      <c r="M49" s="26" t="s">
        <v>102</v>
      </c>
    </row>
    <row r="50" spans="1:13" ht="12.75">
      <c r="A50" s="71">
        <v>2012</v>
      </c>
      <c r="B50" s="108" t="s">
        <v>27</v>
      </c>
      <c r="C50" s="94"/>
      <c r="D50" s="94"/>
      <c r="F50" s="94"/>
      <c r="G50" s="94"/>
      <c r="H50" s="94"/>
      <c r="I50" s="94"/>
      <c r="J50" s="94"/>
      <c r="K50" s="94"/>
      <c r="L50" s="94"/>
      <c r="M50" s="27"/>
    </row>
    <row r="51" spans="1:17" ht="12.75">
      <c r="A51" s="2"/>
      <c r="B51" s="2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98"/>
      <c r="N51" s="4"/>
      <c r="O51" s="28"/>
      <c r="P51" s="29" t="s">
        <v>79</v>
      </c>
      <c r="Q51" s="30"/>
    </row>
    <row r="52" spans="1:17" ht="12.75">
      <c r="A52" s="5" t="s">
        <v>1</v>
      </c>
      <c r="B52" s="6" t="s">
        <v>2</v>
      </c>
      <c r="C52" s="99" t="s">
        <v>3</v>
      </c>
      <c r="D52" s="99" t="s">
        <v>4</v>
      </c>
      <c r="E52" s="99" t="s">
        <v>5</v>
      </c>
      <c r="F52" s="99" t="s">
        <v>6</v>
      </c>
      <c r="G52" s="99" t="s">
        <v>7</v>
      </c>
      <c r="H52" s="99" t="s">
        <v>8</v>
      </c>
      <c r="I52" s="99" t="s">
        <v>9</v>
      </c>
      <c r="J52" s="99" t="s">
        <v>10</v>
      </c>
      <c r="K52" s="99" t="s">
        <v>11</v>
      </c>
      <c r="L52" s="99" t="s">
        <v>12</v>
      </c>
      <c r="M52" s="100" t="s">
        <v>13</v>
      </c>
      <c r="N52" s="8" t="s">
        <v>14</v>
      </c>
      <c r="O52" s="31" t="s">
        <v>47</v>
      </c>
      <c r="P52" s="32"/>
      <c r="Q52" s="33" t="s">
        <v>47</v>
      </c>
    </row>
    <row r="53" spans="1:17" ht="12.75">
      <c r="A53" s="9"/>
      <c r="B53" s="1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101"/>
      <c r="N53" s="12"/>
      <c r="O53" s="34"/>
      <c r="P53" s="32" t="s">
        <v>48</v>
      </c>
      <c r="Q53" s="35" t="s">
        <v>49</v>
      </c>
    </row>
    <row r="54" spans="1:17" ht="12.75">
      <c r="A54" s="5"/>
      <c r="B54" s="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15"/>
      <c r="O54" s="31"/>
      <c r="P54" s="36"/>
      <c r="Q54" s="37"/>
    </row>
    <row r="55" spans="1:17" ht="12.75">
      <c r="A55" s="5" t="s">
        <v>15</v>
      </c>
      <c r="B55" s="16">
        <v>1130</v>
      </c>
      <c r="C55" s="83">
        <v>1130</v>
      </c>
      <c r="D55" s="83">
        <v>1130</v>
      </c>
      <c r="E55" s="83">
        <v>1130</v>
      </c>
      <c r="F55" s="83">
        <v>1130</v>
      </c>
      <c r="G55" s="83">
        <v>1130</v>
      </c>
      <c r="H55" s="83">
        <v>1230</v>
      </c>
      <c r="I55" s="83">
        <v>1130</v>
      </c>
      <c r="J55" s="83">
        <v>1130</v>
      </c>
      <c r="K55" s="83">
        <v>1130</v>
      </c>
      <c r="L55" s="83">
        <v>1130</v>
      </c>
      <c r="M55" s="83">
        <v>1130</v>
      </c>
      <c r="N55" s="18">
        <f>SUM(B55:M55)</f>
        <v>13660</v>
      </c>
      <c r="O55" s="41">
        <f>N55/3276.8/12</f>
        <v>0.3473917643229167</v>
      </c>
      <c r="P55" s="38">
        <v>14300</v>
      </c>
      <c r="Q55" s="45">
        <f>P55/3276.8/12</f>
        <v>0.3636678059895833</v>
      </c>
    </row>
    <row r="56" spans="1:17" ht="12.75">
      <c r="A56" s="19"/>
      <c r="B56" s="16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5"/>
      <c r="N56" s="18"/>
      <c r="O56" s="41"/>
      <c r="P56" s="38"/>
      <c r="Q56" s="45"/>
    </row>
    <row r="57" spans="1:17" ht="12.75">
      <c r="A57" s="5" t="s">
        <v>103</v>
      </c>
      <c r="B57" s="16">
        <v>799.55</v>
      </c>
      <c r="C57" s="83"/>
      <c r="D57" s="83">
        <v>696.71</v>
      </c>
      <c r="E57" s="83"/>
      <c r="F57" s="83">
        <v>538.55</v>
      </c>
      <c r="G57" s="83"/>
      <c r="H57" s="83">
        <v>462.59</v>
      </c>
      <c r="I57" s="83">
        <v>1744.82</v>
      </c>
      <c r="J57" s="83">
        <v>598.52</v>
      </c>
      <c r="K57" s="83"/>
      <c r="L57" s="83">
        <v>743.03</v>
      </c>
      <c r="M57" s="85"/>
      <c r="N57" s="18">
        <f>SUM(B57:M57)</f>
        <v>5583.77</v>
      </c>
      <c r="O57" s="41">
        <f>N57/3276.8/12</f>
        <v>0.14200261433919273</v>
      </c>
      <c r="P57" s="38">
        <v>3200</v>
      </c>
      <c r="Q57" s="45">
        <f>P57/3276.8/12</f>
        <v>0.08138020833333333</v>
      </c>
    </row>
    <row r="58" spans="1:17" ht="12.75">
      <c r="A58" s="5"/>
      <c r="B58" s="16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5"/>
      <c r="N58" s="18"/>
      <c r="O58" s="41"/>
      <c r="P58" s="38"/>
      <c r="Q58" s="45"/>
    </row>
    <row r="59" spans="1:17" ht="12.75">
      <c r="A59" s="5" t="s">
        <v>18</v>
      </c>
      <c r="B59" s="16">
        <v>195.6</v>
      </c>
      <c r="C59" s="83">
        <v>650</v>
      </c>
      <c r="D59" s="83">
        <v>620</v>
      </c>
      <c r="E59" s="83">
        <v>190</v>
      </c>
      <c r="F59" s="83">
        <v>190</v>
      </c>
      <c r="G59" s="83">
        <v>240</v>
      </c>
      <c r="H59" s="83">
        <v>190</v>
      </c>
      <c r="I59" s="83">
        <v>190</v>
      </c>
      <c r="J59" s="83">
        <v>254</v>
      </c>
      <c r="K59" s="83">
        <v>196</v>
      </c>
      <c r="L59" s="83">
        <v>196</v>
      </c>
      <c r="M59" s="85">
        <v>205</v>
      </c>
      <c r="N59" s="18">
        <f>SUM(B59:M59)</f>
        <v>3316.6</v>
      </c>
      <c r="O59" s="41">
        <f>N59/3276.8/12</f>
        <v>0.08434549967447917</v>
      </c>
      <c r="P59" s="38">
        <v>4000</v>
      </c>
      <c r="Q59" s="45">
        <f>P59/3276.8/12</f>
        <v>0.10172526041666667</v>
      </c>
    </row>
    <row r="60" spans="1:17" ht="12.75">
      <c r="A60" s="5"/>
      <c r="B60" s="16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5"/>
      <c r="N60" s="18"/>
      <c r="O60" s="41"/>
      <c r="P60" s="38"/>
      <c r="Q60" s="45"/>
    </row>
    <row r="61" spans="1:17" ht="12.75">
      <c r="A61" s="5" t="s">
        <v>101</v>
      </c>
      <c r="B61" s="16"/>
      <c r="C61" s="83"/>
      <c r="D61" s="83">
        <v>55.94</v>
      </c>
      <c r="E61" s="83"/>
      <c r="F61" s="83"/>
      <c r="G61" s="83"/>
      <c r="H61" s="83"/>
      <c r="I61" s="83"/>
      <c r="J61" s="83"/>
      <c r="K61" s="83"/>
      <c r="L61" s="83"/>
      <c r="M61" s="85"/>
      <c r="N61" s="18">
        <f>SUM(B61:M61)</f>
        <v>55.94</v>
      </c>
      <c r="O61" s="41"/>
      <c r="P61" s="38"/>
      <c r="Q61" s="45"/>
    </row>
    <row r="62" spans="1:17" ht="12.75">
      <c r="A62" s="5"/>
      <c r="B62" s="16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5"/>
      <c r="N62" s="18"/>
      <c r="O62" s="41"/>
      <c r="P62" s="38"/>
      <c r="Q62" s="45"/>
    </row>
    <row r="63" spans="1:17" ht="12.75">
      <c r="A63" s="5" t="s">
        <v>19</v>
      </c>
      <c r="B63" s="16"/>
      <c r="C63" s="83"/>
      <c r="D63" s="83"/>
      <c r="E63" s="83"/>
      <c r="F63" s="83"/>
      <c r="G63" s="83"/>
      <c r="H63" s="83"/>
      <c r="I63" s="83">
        <v>1500</v>
      </c>
      <c r="J63" s="83"/>
      <c r="K63" s="83"/>
      <c r="L63" s="83">
        <v>1053</v>
      </c>
      <c r="M63" s="85"/>
      <c r="N63" s="18">
        <f>SUM(B63:M63)</f>
        <v>2553</v>
      </c>
      <c r="O63" s="41">
        <f>N63/3276.8/12</f>
        <v>0.0649261474609375</v>
      </c>
      <c r="P63" s="38">
        <v>2600</v>
      </c>
      <c r="Q63" s="45">
        <f>P63/3276.8/12</f>
        <v>0.06612141927083333</v>
      </c>
    </row>
    <row r="64" spans="1:17" ht="12.75">
      <c r="A64" s="5"/>
      <c r="B64" s="16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5"/>
      <c r="N64" s="18"/>
      <c r="O64" s="41"/>
      <c r="P64" s="38"/>
      <c r="Q64" s="45"/>
    </row>
    <row r="65" spans="1:17" ht="12.75">
      <c r="A65" s="5" t="s">
        <v>20</v>
      </c>
      <c r="B65" s="16"/>
      <c r="C65" s="83"/>
      <c r="D65" s="83">
        <v>116.27</v>
      </c>
      <c r="E65" s="83"/>
      <c r="F65" s="83">
        <v>36.11</v>
      </c>
      <c r="G65" s="83"/>
      <c r="H65" s="83">
        <v>171.71</v>
      </c>
      <c r="I65" s="83"/>
      <c r="J65" s="83">
        <v>73.12</v>
      </c>
      <c r="K65" s="83"/>
      <c r="L65" s="83">
        <v>98.4</v>
      </c>
      <c r="M65" s="85">
        <v>86.12</v>
      </c>
      <c r="N65" s="18">
        <f>SUM(B65:M65)</f>
        <v>581.73</v>
      </c>
      <c r="O65" s="41">
        <f>N65/3276.8/12</f>
        <v>0.014794158935546876</v>
      </c>
      <c r="P65" s="38">
        <v>500</v>
      </c>
      <c r="Q65" s="45">
        <f>P65/3276.8/12</f>
        <v>0.012715657552083334</v>
      </c>
    </row>
    <row r="66" spans="1:17" ht="12.75">
      <c r="A66" s="5"/>
      <c r="B66" s="16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5"/>
      <c r="N66" s="18"/>
      <c r="O66" s="41"/>
      <c r="P66" s="38"/>
      <c r="Q66" s="45"/>
    </row>
    <row r="67" spans="1:17" ht="12.75">
      <c r="A67" s="5" t="s">
        <v>23</v>
      </c>
      <c r="B67" s="16">
        <v>1325</v>
      </c>
      <c r="C67" s="83">
        <v>675</v>
      </c>
      <c r="D67" s="83"/>
      <c r="E67" s="83"/>
      <c r="F67" s="83"/>
      <c r="G67" s="83"/>
      <c r="H67" s="83">
        <v>1324</v>
      </c>
      <c r="I67" s="83">
        <v>674</v>
      </c>
      <c r="J67" s="83"/>
      <c r="K67" s="83"/>
      <c r="L67" s="83"/>
      <c r="M67" s="85"/>
      <c r="N67" s="18">
        <f>SUM(B67:M67)</f>
        <v>3998</v>
      </c>
      <c r="O67" s="41">
        <f>N67/3276.8/12</f>
        <v>0.10167439778645833</v>
      </c>
      <c r="P67" s="38">
        <v>4000</v>
      </c>
      <c r="Q67" s="45">
        <f>P67/3276.8/12</f>
        <v>0.10172526041666667</v>
      </c>
    </row>
    <row r="68" spans="1:17" ht="12.75">
      <c r="A68" s="5"/>
      <c r="B68" s="16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5"/>
      <c r="N68" s="18"/>
      <c r="O68" s="41"/>
      <c r="P68" s="38"/>
      <c r="Q68" s="45"/>
    </row>
    <row r="69" spans="1:17" ht="12.75">
      <c r="A69" s="5" t="s">
        <v>25</v>
      </c>
      <c r="B69" s="16">
        <v>1762.83</v>
      </c>
      <c r="C69" s="83">
        <v>2054.85</v>
      </c>
      <c r="D69" s="83">
        <v>1971.47</v>
      </c>
      <c r="E69" s="83">
        <v>2096.04</v>
      </c>
      <c r="F69" s="83">
        <v>1590.92</v>
      </c>
      <c r="G69" s="83">
        <v>2290.94</v>
      </c>
      <c r="H69" s="83">
        <v>2081.32</v>
      </c>
      <c r="I69" s="83">
        <v>2395.4</v>
      </c>
      <c r="J69" s="83">
        <v>1983.95</v>
      </c>
      <c r="K69" s="83">
        <v>2957.17</v>
      </c>
      <c r="L69" s="83">
        <v>3291.29</v>
      </c>
      <c r="M69" s="85">
        <v>2862.89</v>
      </c>
      <c r="N69" s="18">
        <f>SUM(B69:M69)</f>
        <v>27339.07</v>
      </c>
      <c r="O69" s="41">
        <f>N69/3276.8/12</f>
        <v>0.6952685038248697</v>
      </c>
      <c r="P69" s="38">
        <v>26300</v>
      </c>
      <c r="Q69" s="45">
        <f>P69/3276.8/12</f>
        <v>0.6688435872395834</v>
      </c>
    </row>
    <row r="70" spans="1:17" ht="12.75">
      <c r="A70" s="5"/>
      <c r="B70" s="16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5"/>
      <c r="N70" s="18"/>
      <c r="O70" s="41"/>
      <c r="P70" s="38"/>
      <c r="Q70" s="45"/>
    </row>
    <row r="71" spans="1:17" ht="12.75">
      <c r="A71" s="5" t="s">
        <v>59</v>
      </c>
      <c r="B71" s="16">
        <v>362.89</v>
      </c>
      <c r="C71" s="83">
        <v>339.44</v>
      </c>
      <c r="D71" s="83">
        <v>623.63</v>
      </c>
      <c r="E71" s="83">
        <v>460.06</v>
      </c>
      <c r="F71" s="83">
        <v>299.48</v>
      </c>
      <c r="G71" s="83">
        <v>314.33</v>
      </c>
      <c r="H71" s="83">
        <v>104.26</v>
      </c>
      <c r="I71" s="83">
        <v>437.46</v>
      </c>
      <c r="J71" s="83">
        <v>1658.5</v>
      </c>
      <c r="K71" s="83">
        <v>258.39</v>
      </c>
      <c r="L71" s="83">
        <v>142.17</v>
      </c>
      <c r="M71" s="85">
        <v>26.54</v>
      </c>
      <c r="N71" s="18">
        <f>SUM(B71:M71)</f>
        <v>5027.150000000001</v>
      </c>
      <c r="O71" s="41">
        <f>N71/3276.8/12</f>
        <v>0.12784703572591147</v>
      </c>
      <c r="P71" s="38">
        <v>6000</v>
      </c>
      <c r="Q71" s="45">
        <f>P71/3276.8/12</f>
        <v>0.152587890625</v>
      </c>
    </row>
    <row r="72" spans="1:17" ht="12.75">
      <c r="A72" s="5"/>
      <c r="B72" s="16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5"/>
      <c r="N72" s="18"/>
      <c r="O72" s="41"/>
      <c r="P72" s="38"/>
      <c r="Q72" s="45"/>
    </row>
    <row r="73" spans="1:17" ht="12.75">
      <c r="A73" s="5" t="s">
        <v>60</v>
      </c>
      <c r="B73" s="16"/>
      <c r="C73" s="83">
        <v>270</v>
      </c>
      <c r="D73" s="83"/>
      <c r="E73" s="83"/>
      <c r="F73" s="83">
        <v>153</v>
      </c>
      <c r="G73" s="83"/>
      <c r="H73" s="83"/>
      <c r="I73" s="83"/>
      <c r="J73" s="83"/>
      <c r="K73" s="83"/>
      <c r="L73" s="83">
        <v>21</v>
      </c>
      <c r="M73" s="85"/>
      <c r="N73" s="18">
        <f>SUM(B73:M73)</f>
        <v>444</v>
      </c>
      <c r="O73" s="41">
        <f>N73/3276.8/12</f>
        <v>0.01129150390625</v>
      </c>
      <c r="P73" s="38">
        <v>6000</v>
      </c>
      <c r="Q73" s="45">
        <f>P73/3276.8/12</f>
        <v>0.152587890625</v>
      </c>
    </row>
    <row r="74" spans="1:17" ht="12.75">
      <c r="A74" s="5"/>
      <c r="B74" s="16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5"/>
      <c r="N74" s="18"/>
      <c r="O74" s="41"/>
      <c r="P74" s="38"/>
      <c r="Q74" s="45"/>
    </row>
    <row r="75" spans="1:17" ht="12.75">
      <c r="A75" s="5" t="s">
        <v>53</v>
      </c>
      <c r="B75" s="16">
        <v>1365.78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5"/>
      <c r="N75" s="18">
        <f>SUM(B75:M75)</f>
        <v>1365.78</v>
      </c>
      <c r="O75" s="41">
        <f>N75/3276.8/12</f>
        <v>0.034733581542968746</v>
      </c>
      <c r="P75" s="38">
        <v>700</v>
      </c>
      <c r="Q75" s="45">
        <f>P75/3276.8/12</f>
        <v>0.017801920572916668</v>
      </c>
    </row>
    <row r="76" spans="1:17" ht="12.75">
      <c r="A76" s="5"/>
      <c r="B76" s="13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7"/>
      <c r="N76" s="18"/>
      <c r="O76" s="41"/>
      <c r="P76" s="61"/>
      <c r="Q76" s="62"/>
    </row>
    <row r="77" spans="1:17" ht="12.75">
      <c r="A77" s="20"/>
      <c r="B77" s="2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9"/>
      <c r="N77" s="48"/>
      <c r="O77" s="63"/>
      <c r="P77" s="38"/>
      <c r="Q77" s="45"/>
    </row>
    <row r="78" spans="1:17" ht="12.75">
      <c r="A78" s="22"/>
      <c r="B78" s="16">
        <f>SUM(B55:B75)</f>
        <v>6941.65</v>
      </c>
      <c r="C78" s="83">
        <f>SUM(C55:C75)</f>
        <v>5119.29</v>
      </c>
      <c r="D78" s="83">
        <f>SUM(D55:D75)</f>
        <v>5214.02</v>
      </c>
      <c r="E78" s="83">
        <f>SUM(E55:E75)</f>
        <v>3876.1</v>
      </c>
      <c r="F78" s="83">
        <f>SUM(F55:F75)</f>
        <v>3938.06</v>
      </c>
      <c r="G78" s="83">
        <f>SUM(G55:G75)</f>
        <v>3975.27</v>
      </c>
      <c r="H78" s="83">
        <f>SUM(H55:H75)</f>
        <v>5563.880000000001</v>
      </c>
      <c r="I78" s="83">
        <f>SUM(I55:I75)</f>
        <v>8071.679999999999</v>
      </c>
      <c r="J78" s="83">
        <f>SUM(J55:J75)</f>
        <v>5698.09</v>
      </c>
      <c r="K78" s="83">
        <f>SUM(K55:K75)</f>
        <v>4541.5599999999995</v>
      </c>
      <c r="L78" s="83">
        <f>SUM(L55:L75)</f>
        <v>6674.889999999999</v>
      </c>
      <c r="M78" s="90">
        <f>SUM(M55:M75)</f>
        <v>4310.549999999999</v>
      </c>
      <c r="N78" s="18">
        <f>SUM(N55:N73)</f>
        <v>62559.26</v>
      </c>
      <c r="O78" s="18">
        <f>SUM(O51:O75)</f>
        <v>1.6242752075195312</v>
      </c>
      <c r="P78" s="38">
        <f>SUM(P51:P75)</f>
        <v>67600</v>
      </c>
      <c r="Q78" s="45">
        <f>SUM(Q51:Q75)</f>
        <v>1.7191569010416667</v>
      </c>
    </row>
    <row r="79" spans="1:17" ht="12.75">
      <c r="A79" s="24"/>
      <c r="B79" s="1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64"/>
      <c r="O79" s="65"/>
      <c r="P79" s="61"/>
      <c r="Q79" s="62"/>
    </row>
    <row r="80" spans="1:17" ht="12.75">
      <c r="A80" s="47"/>
      <c r="B80" s="2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48"/>
      <c r="O80" s="49"/>
      <c r="P80" s="50"/>
      <c r="Q80" s="51"/>
    </row>
    <row r="81" spans="1:17" ht="12.75">
      <c r="A81" s="5" t="s">
        <v>52</v>
      </c>
      <c r="B81" s="13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18"/>
      <c r="O81" s="52">
        <f>N81/3276.8/12</f>
        <v>0</v>
      </c>
      <c r="P81" s="53"/>
      <c r="Q81" s="52">
        <f>P81/3276.8/12</f>
        <v>0</v>
      </c>
    </row>
    <row r="82" spans="1:17" ht="12.75">
      <c r="A82" s="9"/>
      <c r="B82" s="1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12"/>
      <c r="O82" s="54"/>
      <c r="P82" s="55"/>
      <c r="Q82" s="56"/>
    </row>
    <row r="83" spans="3:13" ht="12.75">
      <c r="C83" s="94"/>
      <c r="D83" s="94"/>
      <c r="F83" s="94"/>
      <c r="G83" s="94"/>
      <c r="H83" s="94"/>
      <c r="I83" s="94"/>
      <c r="J83" s="94"/>
      <c r="K83" s="94"/>
      <c r="L83" s="94"/>
      <c r="M83" s="94"/>
    </row>
    <row r="84" spans="1:13" ht="12.75">
      <c r="A84" t="s">
        <v>62</v>
      </c>
      <c r="B84" t="s">
        <v>63</v>
      </c>
      <c r="C84" s="94" t="s">
        <v>62</v>
      </c>
      <c r="D84" s="94"/>
      <c r="F84" s="94"/>
      <c r="G84" s="94"/>
      <c r="H84" s="94"/>
      <c r="I84" s="94"/>
      <c r="J84" s="94"/>
      <c r="K84" s="94"/>
      <c r="L84" s="94"/>
      <c r="M84" s="94"/>
    </row>
    <row r="85" spans="1:13" ht="12.75">
      <c r="A85" s="66" t="s">
        <v>104</v>
      </c>
      <c r="B85" s="67">
        <v>3753.18</v>
      </c>
      <c r="C85" s="112">
        <v>4090.43</v>
      </c>
      <c r="D85" s="94"/>
      <c r="F85" s="94"/>
      <c r="G85" s="94"/>
      <c r="H85" s="94"/>
      <c r="I85" s="94"/>
      <c r="J85" s="94"/>
      <c r="K85" s="94"/>
      <c r="L85" s="94"/>
      <c r="M85" s="94"/>
    </row>
    <row r="86" spans="1:13" ht="12.75">
      <c r="A86" s="66" t="s">
        <v>105</v>
      </c>
      <c r="B86" s="67">
        <f>1041.6*5.3*12</f>
        <v>66245.76</v>
      </c>
      <c r="C86" s="113">
        <f>2237*5.9*12</f>
        <v>158379.6</v>
      </c>
      <c r="D86" s="94"/>
      <c r="F86" s="94"/>
      <c r="G86" s="94"/>
      <c r="H86" s="94"/>
      <c r="I86" s="94"/>
      <c r="J86" s="94"/>
      <c r="K86" s="94"/>
      <c r="L86" s="94"/>
      <c r="M86" s="94"/>
    </row>
    <row r="87" spans="1:13" ht="12.75">
      <c r="A87" s="66" t="s">
        <v>106</v>
      </c>
      <c r="B87" s="109">
        <v>64874.97</v>
      </c>
      <c r="C87" s="113">
        <v>154688.37</v>
      </c>
      <c r="D87" s="94"/>
      <c r="F87" s="94"/>
      <c r="G87" s="94"/>
      <c r="H87" s="94"/>
      <c r="I87" s="94"/>
      <c r="J87" s="94"/>
      <c r="K87" s="94"/>
      <c r="L87" s="94"/>
      <c r="M87" s="94"/>
    </row>
    <row r="88" spans="1:13" ht="12.75">
      <c r="A88" s="66" t="s">
        <v>67</v>
      </c>
      <c r="B88" s="109">
        <v>0</v>
      </c>
      <c r="C88" s="112">
        <v>0</v>
      </c>
      <c r="D88" s="94"/>
      <c r="F88" s="94"/>
      <c r="G88" s="94"/>
      <c r="H88" s="94"/>
      <c r="I88" s="94"/>
      <c r="J88" s="94"/>
      <c r="K88" s="94"/>
      <c r="L88" s="94"/>
      <c r="M88" s="94"/>
    </row>
    <row r="89" spans="1:13" ht="12.75">
      <c r="A89" s="66"/>
      <c r="B89" s="67">
        <f>B85+B86-B87-B88</f>
        <v>5123.969999999987</v>
      </c>
      <c r="C89" s="112">
        <f>C85+C86-C87-C88</f>
        <v>7781.6600000000035</v>
      </c>
      <c r="D89" s="94"/>
      <c r="F89" s="94"/>
      <c r="G89" s="94"/>
      <c r="H89" s="94"/>
      <c r="I89" s="94"/>
      <c r="J89" s="94"/>
      <c r="K89" s="94"/>
      <c r="L89" s="94"/>
      <c r="M89" s="94"/>
    </row>
    <row r="90" spans="3:13" ht="12.75">
      <c r="C90" s="94"/>
      <c r="D90" s="94"/>
      <c r="F90" s="94"/>
      <c r="G90" s="94"/>
      <c r="H90" s="94"/>
      <c r="I90" s="94"/>
      <c r="J90" s="94"/>
      <c r="K90" s="94"/>
      <c r="L90" s="94"/>
      <c r="M90" s="94"/>
    </row>
    <row r="91" spans="3:13" ht="12.75">
      <c r="C91" s="94"/>
      <c r="D91" s="94"/>
      <c r="F91" s="94"/>
      <c r="G91" s="94"/>
      <c r="H91" s="94"/>
      <c r="I91" s="94"/>
      <c r="J91" s="94"/>
      <c r="K91" s="94"/>
      <c r="L91" s="94"/>
      <c r="M91" s="94"/>
    </row>
    <row r="92" spans="3:13" ht="12.75">
      <c r="C92" s="94"/>
      <c r="D92" s="94"/>
      <c r="F92" s="94"/>
      <c r="G92" s="94"/>
      <c r="H92" s="94"/>
      <c r="I92" s="94"/>
      <c r="J92" s="94"/>
      <c r="K92" s="94"/>
      <c r="L92" s="94"/>
      <c r="M92" s="94"/>
    </row>
    <row r="93" spans="3:13" ht="12.75">
      <c r="C93" s="94"/>
      <c r="D93" s="94"/>
      <c r="F93" s="94"/>
      <c r="G93" s="94"/>
      <c r="H93" s="94"/>
      <c r="I93" s="94"/>
      <c r="J93" s="94"/>
      <c r="K93" s="94"/>
      <c r="L93" s="94"/>
      <c r="M93" s="94"/>
    </row>
    <row r="94" spans="3:13" ht="12.75">
      <c r="C94" s="94"/>
      <c r="D94" s="94"/>
      <c r="F94" s="94"/>
      <c r="G94" s="94"/>
      <c r="H94" s="94"/>
      <c r="I94" s="94"/>
      <c r="J94" s="94"/>
      <c r="K94" s="94"/>
      <c r="L94" s="94"/>
      <c r="M94" s="94"/>
    </row>
    <row r="95" spans="3:13" ht="12.75">
      <c r="C95" s="94"/>
      <c r="D95" s="94"/>
      <c r="F95" s="94"/>
      <c r="G95" s="94"/>
      <c r="H95" s="94"/>
      <c r="I95" s="94"/>
      <c r="J95" s="94"/>
      <c r="K95" s="94"/>
      <c r="L95" s="94"/>
      <c r="M95" s="94"/>
    </row>
    <row r="96" spans="3:13" ht="12.75">
      <c r="C96" s="94"/>
      <c r="D96" s="94"/>
      <c r="F96" s="94"/>
      <c r="G96" s="94"/>
      <c r="H96" s="94"/>
      <c r="I96" s="94"/>
      <c r="J96" s="94"/>
      <c r="K96" s="94"/>
      <c r="L96" s="94"/>
      <c r="M96" s="94"/>
    </row>
    <row r="97" spans="3:13" ht="12.75">
      <c r="C97" s="94"/>
      <c r="D97" s="94"/>
      <c r="F97" s="94"/>
      <c r="G97" s="94"/>
      <c r="H97" s="94"/>
      <c r="I97" s="94"/>
      <c r="J97" s="94"/>
      <c r="K97" s="94"/>
      <c r="L97" s="94"/>
      <c r="M97" s="94"/>
    </row>
    <row r="98" spans="3:13" ht="12.75">
      <c r="C98" s="94"/>
      <c r="D98" s="94"/>
      <c r="F98" s="94"/>
      <c r="G98" s="94"/>
      <c r="H98" s="94"/>
      <c r="I98" s="94"/>
      <c r="J98" s="94"/>
      <c r="K98" s="94"/>
      <c r="L98" s="94"/>
      <c r="M98" s="26" t="s">
        <v>107</v>
      </c>
    </row>
    <row r="99" spans="1:13" ht="12.75">
      <c r="A99" s="71">
        <v>2012</v>
      </c>
      <c r="B99" s="108" t="s">
        <v>29</v>
      </c>
      <c r="C99" s="94"/>
      <c r="D99" s="94"/>
      <c r="F99" s="94"/>
      <c r="G99" s="94"/>
      <c r="H99" s="94"/>
      <c r="I99" s="94"/>
      <c r="J99" s="94"/>
      <c r="K99" s="94"/>
      <c r="L99" s="94"/>
      <c r="M99" s="27"/>
    </row>
    <row r="100" spans="1:17" ht="12.75">
      <c r="A100" s="2"/>
      <c r="B100" s="2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98"/>
      <c r="N100" s="4"/>
      <c r="O100" s="28"/>
      <c r="P100" s="29" t="s">
        <v>96</v>
      </c>
      <c r="Q100" s="30"/>
    </row>
    <row r="101" spans="1:17" ht="12.75">
      <c r="A101" s="5" t="s">
        <v>1</v>
      </c>
      <c r="B101" s="6" t="s">
        <v>2</v>
      </c>
      <c r="C101" s="99" t="s">
        <v>3</v>
      </c>
      <c r="D101" s="99" t="s">
        <v>4</v>
      </c>
      <c r="E101" s="99" t="s">
        <v>5</v>
      </c>
      <c r="F101" s="99" t="s">
        <v>6</v>
      </c>
      <c r="G101" s="99" t="s">
        <v>7</v>
      </c>
      <c r="H101" s="99" t="s">
        <v>8</v>
      </c>
      <c r="I101" s="99" t="s">
        <v>9</v>
      </c>
      <c r="J101" s="99" t="s">
        <v>10</v>
      </c>
      <c r="K101" s="99" t="s">
        <v>11</v>
      </c>
      <c r="L101" s="99" t="s">
        <v>12</v>
      </c>
      <c r="M101" s="100" t="s">
        <v>13</v>
      </c>
      <c r="N101" s="8" t="s">
        <v>14</v>
      </c>
      <c r="O101" s="31" t="s">
        <v>47</v>
      </c>
      <c r="P101" s="32"/>
      <c r="Q101" s="33" t="s">
        <v>47</v>
      </c>
    </row>
    <row r="102" spans="1:17" ht="12.75">
      <c r="A102" s="9"/>
      <c r="B102" s="1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101"/>
      <c r="N102" s="12"/>
      <c r="O102" s="34"/>
      <c r="P102" s="32" t="s">
        <v>48</v>
      </c>
      <c r="Q102" s="35" t="s">
        <v>49</v>
      </c>
    </row>
    <row r="103" spans="1:17" ht="12.75">
      <c r="A103" s="5"/>
      <c r="B103" s="13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7"/>
      <c r="N103" s="15"/>
      <c r="O103" s="31"/>
      <c r="P103" s="36"/>
      <c r="Q103" s="37"/>
    </row>
    <row r="104" spans="1:17" ht="12.75">
      <c r="A104" s="5" t="s">
        <v>15</v>
      </c>
      <c r="B104" s="16">
        <v>220</v>
      </c>
      <c r="C104" s="83">
        <v>220</v>
      </c>
      <c r="D104" s="83">
        <v>220</v>
      </c>
      <c r="E104" s="83">
        <v>220</v>
      </c>
      <c r="F104" s="83">
        <v>220</v>
      </c>
      <c r="G104" s="83">
        <v>220</v>
      </c>
      <c r="H104" s="83">
        <v>220</v>
      </c>
      <c r="I104" s="83">
        <v>220</v>
      </c>
      <c r="J104" s="83">
        <v>220</v>
      </c>
      <c r="K104" s="83">
        <v>220</v>
      </c>
      <c r="L104" s="83">
        <v>220</v>
      </c>
      <c r="M104" s="83">
        <v>220</v>
      </c>
      <c r="N104" s="18">
        <f>SUM(B104:M104)</f>
        <v>2640</v>
      </c>
      <c r="O104" s="41">
        <f>N104/622.8/12</f>
        <v>0.35324341682723187</v>
      </c>
      <c r="P104" s="38">
        <v>2700</v>
      </c>
      <c r="Q104" s="45">
        <f>P104/622.8/12</f>
        <v>0.36127167630057805</v>
      </c>
    </row>
    <row r="105" spans="1:17" ht="12.75">
      <c r="A105" s="19"/>
      <c r="B105" s="16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5"/>
      <c r="N105" s="18"/>
      <c r="O105" s="41"/>
      <c r="P105" s="38"/>
      <c r="Q105" s="45"/>
    </row>
    <row r="106" spans="1:17" ht="12.75">
      <c r="A106" s="5" t="s">
        <v>103</v>
      </c>
      <c r="B106" s="16">
        <v>50.09</v>
      </c>
      <c r="C106" s="83"/>
      <c r="D106" s="83">
        <v>39.97</v>
      </c>
      <c r="E106" s="83"/>
      <c r="F106" s="83">
        <v>52.27</v>
      </c>
      <c r="G106" s="83"/>
      <c r="H106" s="83">
        <v>51.71</v>
      </c>
      <c r="I106" s="83">
        <v>331.45</v>
      </c>
      <c r="J106" s="83">
        <v>48.91</v>
      </c>
      <c r="K106" s="83"/>
      <c r="L106" s="83">
        <v>44.98</v>
      </c>
      <c r="M106" s="85">
        <v>245.28</v>
      </c>
      <c r="N106" s="18">
        <f>SUM(B106:M106)</f>
        <v>864.66</v>
      </c>
      <c r="O106" s="41">
        <f>N106/622.8/12</f>
        <v>0.11569524727039178</v>
      </c>
      <c r="P106" s="38">
        <v>300</v>
      </c>
      <c r="Q106" s="45">
        <f>P106/622.8/12</f>
        <v>0.040141297366730895</v>
      </c>
    </row>
    <row r="107" spans="1:17" ht="12.75">
      <c r="A107" s="5"/>
      <c r="B107" s="16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5"/>
      <c r="N107" s="18"/>
      <c r="O107" s="41"/>
      <c r="P107" s="38"/>
      <c r="Q107" s="45"/>
    </row>
    <row r="108" spans="1:17" ht="12.75">
      <c r="A108" s="5" t="s">
        <v>18</v>
      </c>
      <c r="B108" s="16">
        <v>43.6</v>
      </c>
      <c r="C108" s="83">
        <v>130</v>
      </c>
      <c r="D108" s="83">
        <v>150</v>
      </c>
      <c r="E108" s="83">
        <v>50</v>
      </c>
      <c r="F108" s="83">
        <v>50</v>
      </c>
      <c r="G108" s="83">
        <v>60</v>
      </c>
      <c r="H108" s="83">
        <v>50</v>
      </c>
      <c r="I108" s="83">
        <v>50</v>
      </c>
      <c r="J108" s="83">
        <v>56</v>
      </c>
      <c r="K108" s="83">
        <v>44</v>
      </c>
      <c r="L108" s="83">
        <v>44</v>
      </c>
      <c r="M108" s="83">
        <v>45</v>
      </c>
      <c r="N108" s="18">
        <f>SUM(B108:M108)</f>
        <v>772.6</v>
      </c>
      <c r="O108" s="41">
        <f>N108/622.8/12</f>
        <v>0.10337722115178764</v>
      </c>
      <c r="P108" s="38">
        <v>800</v>
      </c>
      <c r="Q108" s="45">
        <f>P108/622.8/12</f>
        <v>0.10704345964461572</v>
      </c>
    </row>
    <row r="109" spans="1:17" ht="12.75">
      <c r="A109" s="5"/>
      <c r="B109" s="16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5"/>
      <c r="N109" s="18"/>
      <c r="O109" s="41"/>
      <c r="P109" s="38"/>
      <c r="Q109" s="45"/>
    </row>
    <row r="110" spans="1:17" ht="12.75">
      <c r="A110" s="5" t="s">
        <v>19</v>
      </c>
      <c r="B110" s="16"/>
      <c r="C110" s="83"/>
      <c r="D110" s="83"/>
      <c r="E110" s="83"/>
      <c r="F110" s="83"/>
      <c r="G110" s="83"/>
      <c r="H110" s="83"/>
      <c r="I110" s="83">
        <v>300</v>
      </c>
      <c r="J110" s="83"/>
      <c r="K110" s="83"/>
      <c r="L110" s="83">
        <v>194.4</v>
      </c>
      <c r="M110" s="85"/>
      <c r="N110" s="18">
        <f>SUM(B110:M110)</f>
        <v>494.4</v>
      </c>
      <c r="O110" s="41">
        <f>N110/622.8/12</f>
        <v>0.06615285806037251</v>
      </c>
      <c r="P110" s="38">
        <v>500</v>
      </c>
      <c r="Q110" s="45">
        <f>P110/622.8/12</f>
        <v>0.06690216227788483</v>
      </c>
    </row>
    <row r="111" spans="1:17" ht="12.75">
      <c r="A111" s="5"/>
      <c r="B111" s="16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18"/>
      <c r="O111" s="41"/>
      <c r="P111" s="38"/>
      <c r="Q111" s="45"/>
    </row>
    <row r="112" spans="1:17" ht="12.75">
      <c r="A112" s="5" t="s">
        <v>20</v>
      </c>
      <c r="B112" s="16"/>
      <c r="C112" s="83"/>
      <c r="D112" s="83">
        <v>55.93</v>
      </c>
      <c r="E112" s="83"/>
      <c r="F112" s="83"/>
      <c r="G112" s="83"/>
      <c r="H112" s="83"/>
      <c r="I112" s="83"/>
      <c r="J112" s="83"/>
      <c r="K112" s="83"/>
      <c r="L112" s="83"/>
      <c r="M112" s="85"/>
      <c r="N112" s="18">
        <f>SUM(B112:M112)</f>
        <v>55.93</v>
      </c>
      <c r="O112" s="41">
        <f>N112/622.8/12</f>
        <v>0.007483675872404196</v>
      </c>
      <c r="P112" s="38"/>
      <c r="Q112" s="45">
        <f>P112/622.8/12</f>
        <v>0</v>
      </c>
    </row>
    <row r="113" spans="1:17" ht="12.75">
      <c r="A113" s="5"/>
      <c r="B113" s="16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5"/>
      <c r="N113" s="18"/>
      <c r="O113" s="41"/>
      <c r="P113" s="38"/>
      <c r="Q113" s="45"/>
    </row>
    <row r="114" spans="1:17" ht="12.75">
      <c r="A114" s="5" t="s">
        <v>23</v>
      </c>
      <c r="B114" s="16"/>
      <c r="C114" s="83">
        <v>424</v>
      </c>
      <c r="D114" s="83"/>
      <c r="E114" s="83"/>
      <c r="F114" s="83"/>
      <c r="G114" s="83"/>
      <c r="H114" s="83"/>
      <c r="I114" s="83">
        <v>424</v>
      </c>
      <c r="J114" s="83"/>
      <c r="K114" s="83"/>
      <c r="L114" s="83"/>
      <c r="M114" s="85"/>
      <c r="N114" s="18">
        <f>SUM(B114:M114)</f>
        <v>848</v>
      </c>
      <c r="O114" s="41">
        <f>N114/622.8/12</f>
        <v>0.11346606722329267</v>
      </c>
      <c r="P114" s="38">
        <v>840</v>
      </c>
      <c r="Q114" s="45">
        <f>P114/622.8/12</f>
        <v>0.1123956326268465</v>
      </c>
    </row>
    <row r="115" spans="1:17" ht="12.75">
      <c r="A115" s="5"/>
      <c r="B115" s="16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5"/>
      <c r="N115" s="18"/>
      <c r="O115" s="41"/>
      <c r="P115" s="38"/>
      <c r="Q115" s="45"/>
    </row>
    <row r="116" spans="1:17" ht="12.75">
      <c r="A116" s="5" t="s">
        <v>51</v>
      </c>
      <c r="B116" s="16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5"/>
      <c r="N116" s="18">
        <f>SUM(B116:M116)</f>
        <v>0</v>
      </c>
      <c r="O116" s="41">
        <f>N116/622.8/12</f>
        <v>0</v>
      </c>
      <c r="P116" s="38"/>
      <c r="Q116" s="45">
        <f>P116/622.8/12</f>
        <v>0</v>
      </c>
    </row>
    <row r="117" spans="1:17" ht="12.75">
      <c r="A117" s="5"/>
      <c r="B117" s="16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5"/>
      <c r="N117" s="18"/>
      <c r="O117" s="41"/>
      <c r="P117" s="38"/>
      <c r="Q117" s="45"/>
    </row>
    <row r="118" spans="1:17" ht="12.75">
      <c r="A118" s="5" t="s">
        <v>25</v>
      </c>
      <c r="B118" s="16">
        <v>334.87</v>
      </c>
      <c r="C118" s="83">
        <v>390.33</v>
      </c>
      <c r="D118" s="83">
        <v>374.5</v>
      </c>
      <c r="E118" s="83">
        <v>398.16</v>
      </c>
      <c r="F118" s="83">
        <v>302.21</v>
      </c>
      <c r="G118" s="83">
        <v>435.19</v>
      </c>
      <c r="H118" s="83">
        <v>395.36</v>
      </c>
      <c r="I118" s="83">
        <v>455.03</v>
      </c>
      <c r="J118" s="83">
        <v>376.87</v>
      </c>
      <c r="K118" s="83">
        <v>561.73</v>
      </c>
      <c r="L118" s="83">
        <v>625.21</v>
      </c>
      <c r="M118" s="85">
        <v>543.83</v>
      </c>
      <c r="N118" s="18">
        <f>SUM(B118:M118)</f>
        <v>5193.29</v>
      </c>
      <c r="O118" s="41">
        <f>N118/622.8/12</f>
        <v>0.694884660672233</v>
      </c>
      <c r="P118" s="38">
        <v>5000</v>
      </c>
      <c r="Q118" s="45">
        <f>P118/622.8/12</f>
        <v>0.6690216227788482</v>
      </c>
    </row>
    <row r="119" spans="1:17" ht="12.75">
      <c r="A119" s="5"/>
      <c r="B119" s="16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5"/>
      <c r="N119" s="18"/>
      <c r="O119" s="41"/>
      <c r="P119" s="38"/>
      <c r="Q119" s="45"/>
    </row>
    <row r="120" spans="1:17" ht="12.75">
      <c r="A120" s="5" t="s">
        <v>59</v>
      </c>
      <c r="B120" s="16">
        <v>68.93</v>
      </c>
      <c r="C120" s="83">
        <v>64.48</v>
      </c>
      <c r="D120" s="83">
        <v>118.47</v>
      </c>
      <c r="E120" s="83">
        <v>87.39</v>
      </c>
      <c r="F120" s="83">
        <v>56.89</v>
      </c>
      <c r="G120" s="83">
        <v>59.71</v>
      </c>
      <c r="H120" s="83">
        <v>19.81</v>
      </c>
      <c r="I120" s="83">
        <v>83.1</v>
      </c>
      <c r="J120" s="83">
        <v>315.05</v>
      </c>
      <c r="K120" s="83">
        <v>49.08</v>
      </c>
      <c r="L120" s="83">
        <v>27.01</v>
      </c>
      <c r="M120" s="85">
        <v>5.04</v>
      </c>
      <c r="N120" s="18">
        <f>SUM(B120:M120)</f>
        <v>954.9599999999998</v>
      </c>
      <c r="O120" s="41">
        <f>N120/622.8/12</f>
        <v>0.12777777777777777</v>
      </c>
      <c r="P120" s="38">
        <v>1100</v>
      </c>
      <c r="Q120" s="45">
        <f>P120/622.8/12</f>
        <v>0.14718475701134662</v>
      </c>
    </row>
    <row r="121" spans="1:17" ht="12.75">
      <c r="A121" s="5"/>
      <c r="B121" s="16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5"/>
      <c r="N121" s="18"/>
      <c r="O121" s="41"/>
      <c r="P121" s="38"/>
      <c r="Q121" s="45"/>
    </row>
    <row r="122" spans="1:17" ht="12.75">
      <c r="A122" s="5" t="s">
        <v>53</v>
      </c>
      <c r="B122" s="16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5"/>
      <c r="N122" s="18">
        <f>SUM(B122:M122)</f>
        <v>0</v>
      </c>
      <c r="O122" s="41">
        <f>N122/622.8/12</f>
        <v>0</v>
      </c>
      <c r="P122" s="38">
        <v>0</v>
      </c>
      <c r="Q122" s="45">
        <f>P122/622.8/12</f>
        <v>0</v>
      </c>
    </row>
    <row r="123" spans="1:17" ht="12.75">
      <c r="A123" s="5"/>
      <c r="B123" s="13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7"/>
      <c r="N123" s="15"/>
      <c r="O123" s="41"/>
      <c r="P123" s="61"/>
      <c r="Q123" s="62"/>
    </row>
    <row r="124" spans="1:17" ht="12.75">
      <c r="A124" s="20"/>
      <c r="B124" s="2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9"/>
      <c r="N124" s="4"/>
      <c r="O124" s="63"/>
      <c r="P124" s="38"/>
      <c r="Q124" s="45"/>
    </row>
    <row r="125" spans="1:17" ht="12.75">
      <c r="A125" s="22"/>
      <c r="B125" s="16">
        <f>SUM(B104:B122)</f>
        <v>717.49</v>
      </c>
      <c r="C125" s="83">
        <f>SUM(C104:C122)</f>
        <v>1228.81</v>
      </c>
      <c r="D125" s="83">
        <f>SUM(D104:D122)</f>
        <v>958.87</v>
      </c>
      <c r="E125" s="83">
        <f>SUM(E104:E122)</f>
        <v>755.5500000000001</v>
      </c>
      <c r="F125" s="83">
        <f>SUM(F104:F122)</f>
        <v>681.37</v>
      </c>
      <c r="G125" s="83">
        <f>SUM(G104:G122)</f>
        <v>774.9</v>
      </c>
      <c r="H125" s="83">
        <f>SUM(H104:H122)</f>
        <v>736.88</v>
      </c>
      <c r="I125" s="83">
        <f>SUM(I104:I122)</f>
        <v>1863.58</v>
      </c>
      <c r="J125" s="83">
        <f>SUM(J104:J122)</f>
        <v>1016.8299999999999</v>
      </c>
      <c r="K125" s="83">
        <f>SUM(K104:K122)</f>
        <v>874.8100000000001</v>
      </c>
      <c r="L125" s="83">
        <f>SUM(L104:L122)</f>
        <v>1155.6</v>
      </c>
      <c r="M125" s="83">
        <f>SUM(M104:M122)</f>
        <v>1059.15</v>
      </c>
      <c r="N125" s="18">
        <f>SUM(N104:N120)</f>
        <v>11823.839999999998</v>
      </c>
      <c r="O125" s="18">
        <f>SUM(O99:O122)</f>
        <v>1.5820809248554912</v>
      </c>
      <c r="P125" s="38">
        <f>SUM(P99:P122)</f>
        <v>11240</v>
      </c>
      <c r="Q125" s="45">
        <f>SUM(Q99:Q122)</f>
        <v>1.503960608006851</v>
      </c>
    </row>
    <row r="126" spans="1:17" ht="12.75">
      <c r="A126" s="24"/>
      <c r="B126" s="1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2"/>
      <c r="N126" s="12"/>
      <c r="O126" s="65"/>
      <c r="P126" s="61"/>
      <c r="Q126" s="62"/>
    </row>
    <row r="127" spans="1:17" ht="12.75">
      <c r="A127" s="47" t="s">
        <v>53</v>
      </c>
      <c r="B127" s="2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48"/>
      <c r="O127" s="68"/>
      <c r="P127" s="50"/>
      <c r="Q127" s="51"/>
    </row>
    <row r="128" spans="1:17" ht="12.75">
      <c r="A128" s="5" t="s">
        <v>69</v>
      </c>
      <c r="B128" s="16">
        <f>(B125-B116-B122)/622.8*207.6</f>
        <v>239.16333333333336</v>
      </c>
      <c r="C128" s="16">
        <f>(C125-C116-C122)/622.8*207.6</f>
        <v>409.60333333333335</v>
      </c>
      <c r="D128" s="83">
        <f>(D125-D116-D122)/622.8*207.6</f>
        <v>319.62333333333333</v>
      </c>
      <c r="E128" s="83">
        <f>(E125-E116-E122)/622.8*207.6</f>
        <v>251.85000000000005</v>
      </c>
      <c r="F128" s="83">
        <f>(F125-F116-F122)/622.8*207.6</f>
        <v>227.12333333333333</v>
      </c>
      <c r="G128" s="83">
        <f>(G125-G116-G122)/622.8*207.6</f>
        <v>258.29999999999995</v>
      </c>
      <c r="H128" s="83">
        <f>(H125-H116-H122)/622.8*207.6</f>
        <v>245.62666666666667</v>
      </c>
      <c r="I128" s="83">
        <f>(I125-I116-I122)/622.8*207.6</f>
        <v>621.1933333333333</v>
      </c>
      <c r="J128" s="83">
        <f>(J125-J116-J122)/622.8*207.6</f>
        <v>338.9433333333333</v>
      </c>
      <c r="K128" s="83">
        <f>(K125-K116-K122)/622.8*207.6</f>
        <v>291.60333333333335</v>
      </c>
      <c r="L128" s="83">
        <f>(L125-L116-L122)/622.8*207.6</f>
        <v>385.2</v>
      </c>
      <c r="M128" s="16">
        <f>(M125-M116-M122)/622.8*207.6</f>
        <v>353.05000000000007</v>
      </c>
      <c r="N128" s="16">
        <f>(N125-N116-N122)/622.8*207.6</f>
        <v>3941.2799999999997</v>
      </c>
      <c r="O128" s="16"/>
      <c r="P128" s="16">
        <f>(P125-P116-P122)/622.8*207.6</f>
        <v>3746.666666666667</v>
      </c>
      <c r="Q128" s="16"/>
    </row>
    <row r="129" spans="1:17" ht="12.75">
      <c r="A129" s="9"/>
      <c r="B129" s="1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12"/>
      <c r="O129" s="25"/>
      <c r="P129" s="55"/>
      <c r="Q129" s="56"/>
    </row>
    <row r="130" spans="3:13" ht="12.75">
      <c r="C130" s="94"/>
      <c r="D130" s="94"/>
      <c r="F130" s="94"/>
      <c r="G130" s="94"/>
      <c r="H130" s="94"/>
      <c r="I130" s="94"/>
      <c r="J130" s="94"/>
      <c r="K130" s="94"/>
      <c r="L130" s="94"/>
      <c r="M130" s="94"/>
    </row>
    <row r="131" spans="1:13" ht="12.75">
      <c r="A131" t="s">
        <v>55</v>
      </c>
      <c r="B131">
        <v>207.6</v>
      </c>
      <c r="C131" s="94">
        <v>207.6</v>
      </c>
      <c r="D131" s="94">
        <v>207.6</v>
      </c>
      <c r="E131" s="94">
        <v>207.6</v>
      </c>
      <c r="F131" s="94">
        <v>207.6</v>
      </c>
      <c r="G131" s="94">
        <v>207.6</v>
      </c>
      <c r="H131" s="94">
        <v>207.6</v>
      </c>
      <c r="I131" s="94">
        <v>207.6</v>
      </c>
      <c r="J131" s="94">
        <v>207.6</v>
      </c>
      <c r="K131" s="94">
        <v>207.6</v>
      </c>
      <c r="L131" s="94">
        <v>207.6</v>
      </c>
      <c r="M131">
        <v>207.6</v>
      </c>
    </row>
    <row r="132" spans="3:13" ht="12.75">
      <c r="C132" s="94"/>
      <c r="D132" s="94"/>
      <c r="F132" s="94"/>
      <c r="G132" s="94"/>
      <c r="H132" s="94"/>
      <c r="I132" s="94"/>
      <c r="J132" s="103"/>
      <c r="K132" s="103"/>
      <c r="L132" s="103"/>
      <c r="M132" s="103"/>
    </row>
    <row r="133" spans="3:13" ht="12.75">
      <c r="C133" s="94"/>
      <c r="D133" s="94"/>
      <c r="F133" s="94"/>
      <c r="G133" s="94"/>
      <c r="H133" s="94"/>
      <c r="I133" s="94"/>
      <c r="J133" s="103"/>
      <c r="K133" s="103"/>
      <c r="L133" s="103"/>
      <c r="M133" s="103"/>
    </row>
    <row r="134" spans="3:13" ht="12.75">
      <c r="C134" s="94"/>
      <c r="D134" s="94"/>
      <c r="F134" s="94"/>
      <c r="G134" s="94"/>
      <c r="H134" s="94"/>
      <c r="I134" s="94"/>
      <c r="J134" s="103"/>
      <c r="K134" s="103"/>
      <c r="L134" s="103"/>
      <c r="M134" s="103"/>
    </row>
    <row r="135" spans="3:13" ht="12.75">
      <c r="C135" s="94"/>
      <c r="D135" s="94"/>
      <c r="F135" s="94"/>
      <c r="G135" s="94"/>
      <c r="H135" s="94"/>
      <c r="I135" s="94"/>
      <c r="J135" s="103"/>
      <c r="K135" s="103"/>
      <c r="L135" s="103"/>
      <c r="M135" s="103"/>
    </row>
    <row r="136" spans="3:13" ht="12.75">
      <c r="C136" s="94"/>
      <c r="D136" s="94"/>
      <c r="F136" s="94"/>
      <c r="G136" s="94"/>
      <c r="H136" s="94"/>
      <c r="I136" s="94"/>
      <c r="J136" s="103"/>
      <c r="K136" s="103"/>
      <c r="L136" s="103"/>
      <c r="M136" s="103"/>
    </row>
    <row r="137" spans="3:13" ht="12.75">
      <c r="C137" s="94"/>
      <c r="D137" s="94"/>
      <c r="F137" s="94"/>
      <c r="G137" s="94"/>
      <c r="H137" s="94"/>
      <c r="I137" s="94"/>
      <c r="J137" s="103"/>
      <c r="K137" s="103"/>
      <c r="L137" s="103"/>
      <c r="M137" s="103"/>
    </row>
    <row r="138" spans="1:14" ht="12.75">
      <c r="A138" s="1"/>
      <c r="B138" s="1"/>
      <c r="C138" s="1"/>
      <c r="D138" s="59"/>
      <c r="E138" s="59"/>
      <c r="F138" s="59"/>
      <c r="G138" s="59"/>
      <c r="H138" s="59"/>
      <c r="I138" s="1"/>
      <c r="J138" s="59"/>
      <c r="K138" s="59"/>
      <c r="L138" s="59"/>
      <c r="M138" s="59"/>
      <c r="N138" s="1"/>
    </row>
    <row r="139" spans="1:13" ht="12.75">
      <c r="A139" t="s">
        <v>75</v>
      </c>
      <c r="B139">
        <v>6756</v>
      </c>
      <c r="D139" s="94"/>
      <c r="F139" s="94"/>
      <c r="G139" s="94"/>
      <c r="H139" s="94"/>
      <c r="J139" s="94"/>
      <c r="K139" s="94"/>
      <c r="L139" s="94"/>
      <c r="M139" s="94"/>
    </row>
    <row r="140" spans="1:13" ht="12.75">
      <c r="A140" t="s">
        <v>76</v>
      </c>
      <c r="B140">
        <v>3276.8</v>
      </c>
      <c r="D140" s="94"/>
      <c r="F140" s="94"/>
      <c r="G140" s="94"/>
      <c r="H140" s="94"/>
      <c r="J140" s="94"/>
      <c r="K140" s="94"/>
      <c r="L140" s="94"/>
      <c r="M140" s="94"/>
    </row>
    <row r="141" spans="3:19" ht="12.75">
      <c r="C141" s="94"/>
      <c r="D141" s="94"/>
      <c r="F141" s="94"/>
      <c r="G141" s="94"/>
      <c r="H141" s="94"/>
      <c r="I141" s="94"/>
      <c r="J141" s="94"/>
      <c r="K141" s="94"/>
      <c r="L141" s="94"/>
      <c r="M141" s="94"/>
      <c r="S141" s="108" t="s">
        <v>108</v>
      </c>
    </row>
    <row r="142" spans="1:21" ht="12.75">
      <c r="A142" s="71">
        <v>2012</v>
      </c>
      <c r="B142" s="108" t="s">
        <v>31</v>
      </c>
      <c r="C142" s="94"/>
      <c r="D142" s="94"/>
      <c r="F142" s="94"/>
      <c r="G142" s="94"/>
      <c r="H142" s="94"/>
      <c r="I142" s="94"/>
      <c r="J142" s="94"/>
      <c r="K142" s="94"/>
      <c r="L142" s="94"/>
      <c r="M142" s="26" t="s">
        <v>109</v>
      </c>
      <c r="U142" s="26" t="s">
        <v>110</v>
      </c>
    </row>
    <row r="143" spans="3:13" ht="12.75">
      <c r="C143" s="94"/>
      <c r="D143" s="94"/>
      <c r="F143" s="94"/>
      <c r="G143" s="94"/>
      <c r="H143" s="94"/>
      <c r="I143" s="94"/>
      <c r="J143" s="94"/>
      <c r="K143" s="94"/>
      <c r="L143" s="94"/>
      <c r="M143" s="27"/>
    </row>
    <row r="144" spans="1:23" ht="12.75">
      <c r="A144" s="2"/>
      <c r="B144" s="2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4"/>
      <c r="O144" s="114"/>
      <c r="P144" s="106"/>
      <c r="Q144" s="115"/>
      <c r="R144" s="114" t="s">
        <v>111</v>
      </c>
      <c r="S144" s="114"/>
      <c r="T144" s="114"/>
      <c r="U144" s="114"/>
      <c r="V144" s="28"/>
      <c r="W144" s="2"/>
    </row>
    <row r="145" spans="1:23" ht="12.75">
      <c r="A145" s="5" t="s">
        <v>1</v>
      </c>
      <c r="B145" s="6" t="s">
        <v>2</v>
      </c>
      <c r="C145" s="99" t="s">
        <v>3</v>
      </c>
      <c r="D145" s="99" t="s">
        <v>4</v>
      </c>
      <c r="E145" s="99" t="s">
        <v>5</v>
      </c>
      <c r="F145" s="99" t="s">
        <v>6</v>
      </c>
      <c r="G145" s="99" t="s">
        <v>7</v>
      </c>
      <c r="H145" s="99" t="s">
        <v>8</v>
      </c>
      <c r="I145" s="99" t="s">
        <v>9</v>
      </c>
      <c r="J145" s="99" t="s">
        <v>10</v>
      </c>
      <c r="K145" s="99" t="s">
        <v>11</v>
      </c>
      <c r="L145" s="99" t="s">
        <v>12</v>
      </c>
      <c r="M145" s="100" t="s">
        <v>13</v>
      </c>
      <c r="N145" s="8" t="s">
        <v>14</v>
      </c>
      <c r="O145" s="71" t="s">
        <v>71</v>
      </c>
      <c r="P145" s="72" t="s">
        <v>72</v>
      </c>
      <c r="Q145" s="116"/>
      <c r="R145" s="117" t="s">
        <v>112</v>
      </c>
      <c r="S145" s="117" t="s">
        <v>113</v>
      </c>
      <c r="T145" s="117" t="s">
        <v>114</v>
      </c>
      <c r="U145" s="118" t="s">
        <v>115</v>
      </c>
      <c r="V145" s="119"/>
      <c r="W145" s="5" t="s">
        <v>1</v>
      </c>
    </row>
    <row r="146" spans="1:23" ht="12.75">
      <c r="A146" s="9"/>
      <c r="B146" s="1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101"/>
      <c r="N146" s="12"/>
      <c r="O146" s="120"/>
      <c r="P146" s="105" t="s">
        <v>73</v>
      </c>
      <c r="Q146" s="121"/>
      <c r="R146" s="10"/>
      <c r="S146" s="10" t="s">
        <v>116</v>
      </c>
      <c r="T146" s="10" t="s">
        <v>117</v>
      </c>
      <c r="U146" s="122" t="s">
        <v>118</v>
      </c>
      <c r="V146" s="123" t="s">
        <v>119</v>
      </c>
      <c r="W146" s="9"/>
    </row>
    <row r="147" spans="1:23" ht="12.75">
      <c r="A147" s="5"/>
      <c r="B147" s="13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7"/>
      <c r="N147" s="15"/>
      <c r="O147" s="74"/>
      <c r="P147" s="75"/>
      <c r="Q147" s="78"/>
      <c r="R147" s="13"/>
      <c r="S147" s="13"/>
      <c r="T147" s="13"/>
      <c r="U147" s="124"/>
      <c r="V147" s="31"/>
      <c r="W147" s="5"/>
    </row>
    <row r="148" spans="1:23" ht="12.75">
      <c r="A148" s="5" t="s">
        <v>32</v>
      </c>
      <c r="B148" s="16"/>
      <c r="C148" s="83">
        <v>240</v>
      </c>
      <c r="D148" s="83"/>
      <c r="E148" s="83"/>
      <c r="F148" s="83"/>
      <c r="G148" s="83">
        <f>61.5+369</f>
        <v>430.5</v>
      </c>
      <c r="H148" s="83"/>
      <c r="I148" s="83"/>
      <c r="J148" s="83"/>
      <c r="K148" s="83"/>
      <c r="L148" s="83"/>
      <c r="M148" s="85"/>
      <c r="N148" s="18">
        <f>SUM(B148:M148)</f>
        <v>670.5</v>
      </c>
      <c r="O148" s="76">
        <f>N148/$N$178</f>
        <v>0.005585256588603577</v>
      </c>
      <c r="P148" s="77">
        <f>N148/10657.4/12</f>
        <v>0.005242835963743503</v>
      </c>
      <c r="Q148" s="78"/>
      <c r="R148" s="125">
        <f>$R$179/($N$178)*N148</f>
        <v>85.26916284459074</v>
      </c>
      <c r="S148" s="125">
        <f>$S$179/($N$178)*N148</f>
        <v>20.305032770170644</v>
      </c>
      <c r="T148" s="125">
        <f>$T$179/($N$178-$N$165-$N$167)*N148</f>
        <v>239.0779028953198</v>
      </c>
      <c r="U148" s="124">
        <f>N148-R148-S148-T148</f>
        <v>325.84790148991885</v>
      </c>
      <c r="V148" s="126">
        <f>U148/12</f>
        <v>27.15399179082657</v>
      </c>
      <c r="W148" s="5" t="s">
        <v>32</v>
      </c>
    </row>
    <row r="149" spans="1:23" ht="12.75">
      <c r="A149" s="19" t="s">
        <v>85</v>
      </c>
      <c r="B149" s="16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5"/>
      <c r="N149" s="18"/>
      <c r="O149" s="78"/>
      <c r="P149" s="77"/>
      <c r="Q149" s="78"/>
      <c r="R149" s="125"/>
      <c r="S149" s="125"/>
      <c r="T149" s="125"/>
      <c r="U149" s="124"/>
      <c r="V149" s="126"/>
      <c r="W149" s="19" t="s">
        <v>85</v>
      </c>
    </row>
    <row r="150" spans="1:23" ht="12.75">
      <c r="A150" s="5"/>
      <c r="B150" s="16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5"/>
      <c r="N150" s="18"/>
      <c r="O150" s="78"/>
      <c r="P150" s="77"/>
      <c r="Q150" s="78"/>
      <c r="R150" s="125"/>
      <c r="S150" s="125"/>
      <c r="T150" s="125"/>
      <c r="U150" s="124"/>
      <c r="V150" s="126"/>
      <c r="W150" s="5"/>
    </row>
    <row r="151" spans="1:23" ht="12.75">
      <c r="A151" s="5" t="s">
        <v>34</v>
      </c>
      <c r="B151" s="16">
        <v>984</v>
      </c>
      <c r="C151" s="83">
        <v>984</v>
      </c>
      <c r="D151" s="83">
        <v>984</v>
      </c>
      <c r="E151" s="83">
        <v>984</v>
      </c>
      <c r="F151" s="83">
        <v>984</v>
      </c>
      <c r="G151" s="83">
        <v>984</v>
      </c>
      <c r="H151" s="83">
        <v>984</v>
      </c>
      <c r="I151" s="83">
        <v>984</v>
      </c>
      <c r="J151" s="83">
        <v>984</v>
      </c>
      <c r="K151" s="83">
        <v>984</v>
      </c>
      <c r="L151" s="83">
        <v>984</v>
      </c>
      <c r="M151" s="83">
        <v>984</v>
      </c>
      <c r="N151" s="18">
        <f>SUM(B151:M151)</f>
        <v>11808</v>
      </c>
      <c r="O151" s="76">
        <f>N151/$N$178</f>
        <v>0.09836049186909922</v>
      </c>
      <c r="P151" s="77">
        <f>N151/10657.4/12</f>
        <v>0.09233021187156343</v>
      </c>
      <c r="Q151" s="78"/>
      <c r="R151" s="125">
        <f>$R$179/($N$178)*N151</f>
        <v>1501.6529080819203</v>
      </c>
      <c r="S151" s="125">
        <f>$S$179/($N$178)*N151</f>
        <v>357.58661737535414</v>
      </c>
      <c r="T151" s="125">
        <f>$T$179/($N$178-$N$165-$N$167)*N151</f>
        <v>4210.338370451806</v>
      </c>
      <c r="U151" s="124">
        <f>N151-R151-S151-T151</f>
        <v>5738.422104090919</v>
      </c>
      <c r="V151" s="126">
        <f>U151/12</f>
        <v>478.20184200757654</v>
      </c>
      <c r="W151" s="5" t="s">
        <v>34</v>
      </c>
    </row>
    <row r="152" spans="1:23" ht="12.75">
      <c r="A152" s="5"/>
      <c r="B152" s="16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5"/>
      <c r="N152" s="18"/>
      <c r="O152" s="78"/>
      <c r="P152" s="77"/>
      <c r="Q152" s="78"/>
      <c r="R152" s="125"/>
      <c r="S152" s="125"/>
      <c r="T152" s="125"/>
      <c r="U152" s="124"/>
      <c r="V152" s="126"/>
      <c r="W152" s="5"/>
    </row>
    <row r="153" spans="1:23" ht="12.75">
      <c r="A153" s="5" t="s">
        <v>36</v>
      </c>
      <c r="B153" s="16"/>
      <c r="C153" s="83"/>
      <c r="D153" s="83"/>
      <c r="E153" s="83"/>
      <c r="F153" s="83"/>
      <c r="G153" s="83"/>
      <c r="H153" s="83"/>
      <c r="I153" s="83"/>
      <c r="J153" s="83"/>
      <c r="K153" s="83"/>
      <c r="L153" s="83">
        <v>920</v>
      </c>
      <c r="M153" s="85">
        <v>59</v>
      </c>
      <c r="N153" s="18">
        <f>SUM(B153:M153)</f>
        <v>979</v>
      </c>
      <c r="O153" s="78"/>
      <c r="P153" s="77">
        <f>N153/10657.4/12</f>
        <v>0.007655087857576269</v>
      </c>
      <c r="Q153" s="78"/>
      <c r="R153" s="125">
        <f>$R$179/($N$178)*N153</f>
        <v>124.50187982826895</v>
      </c>
      <c r="S153" s="125">
        <f>$S$179/($N$178)*N153</f>
        <v>29.647467683813662</v>
      </c>
      <c r="T153" s="125">
        <f>$T$179/($N$178-$N$165-$N$167)*N153</f>
        <v>349.0786978889159</v>
      </c>
      <c r="U153" s="124">
        <f>N153-R153-S153-T153</f>
        <v>475.7719545990014</v>
      </c>
      <c r="V153" s="126">
        <f>U153/12</f>
        <v>39.64766288325011</v>
      </c>
      <c r="W153" s="5" t="s">
        <v>36</v>
      </c>
    </row>
    <row r="154" spans="1:23" ht="12.75">
      <c r="A154" s="5"/>
      <c r="B154" s="16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5"/>
      <c r="N154" s="18"/>
      <c r="O154" s="78"/>
      <c r="P154" s="77"/>
      <c r="Q154" s="78"/>
      <c r="R154" s="125"/>
      <c r="S154" s="125"/>
      <c r="T154" s="125"/>
      <c r="U154" s="124"/>
      <c r="V154" s="126"/>
      <c r="W154" s="5"/>
    </row>
    <row r="155" spans="1:23" ht="12.75">
      <c r="A155" s="5" t="s">
        <v>16</v>
      </c>
      <c r="B155" s="16">
        <v>155.93</v>
      </c>
      <c r="C155" s="83"/>
      <c r="D155" s="83">
        <v>168.23</v>
      </c>
      <c r="E155" s="83"/>
      <c r="F155" s="83">
        <v>157.59</v>
      </c>
      <c r="G155" s="83"/>
      <c r="H155" s="83">
        <v>240.92</v>
      </c>
      <c r="I155" s="83"/>
      <c r="J155" s="83">
        <v>146.97</v>
      </c>
      <c r="K155" s="83"/>
      <c r="L155" s="83">
        <v>167.11</v>
      </c>
      <c r="M155" s="85"/>
      <c r="N155" s="18">
        <f>SUM(B155:M155)</f>
        <v>1036.75</v>
      </c>
      <c r="O155" s="76">
        <f>N155/$N$178</f>
        <v>0.00863611449401157</v>
      </c>
      <c r="P155" s="77">
        <f>N155/10657.4/12</f>
        <v>0.00810665202895015</v>
      </c>
      <c r="Q155" s="78"/>
      <c r="R155" s="125">
        <f>$R$179/($N$178)*N155</f>
        <v>131.84609184061065</v>
      </c>
      <c r="S155" s="125">
        <f>$S$179/($N$178)*N155</f>
        <v>31.396335159544243</v>
      </c>
      <c r="T155" s="125">
        <f>$T$179/($N$178-$N$165-$N$167)*N155</f>
        <v>369.6704188318013</v>
      </c>
      <c r="U155" s="124">
        <f>N155-R155-S155-T155</f>
        <v>503.8371541680438</v>
      </c>
      <c r="V155" s="126">
        <f>U155/12</f>
        <v>41.98642951400365</v>
      </c>
      <c r="W155" s="5" t="s">
        <v>16</v>
      </c>
    </row>
    <row r="156" spans="1:23" ht="12.75">
      <c r="A156" s="5"/>
      <c r="B156" s="16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5"/>
      <c r="N156" s="18"/>
      <c r="O156" s="78"/>
      <c r="P156" s="77"/>
      <c r="Q156" s="78"/>
      <c r="R156" s="125"/>
      <c r="S156" s="125"/>
      <c r="T156" s="125"/>
      <c r="U156" s="124"/>
      <c r="V156" s="126"/>
      <c r="W156" s="5"/>
    </row>
    <row r="157" spans="1:23" ht="12.75">
      <c r="A157" s="5" t="s">
        <v>86</v>
      </c>
      <c r="B157" s="16"/>
      <c r="C157" s="83"/>
      <c r="D157" s="83"/>
      <c r="E157" s="83"/>
      <c r="F157" s="83"/>
      <c r="G157" s="83"/>
      <c r="H157" s="83"/>
      <c r="I157" s="83">
        <v>1121.27</v>
      </c>
      <c r="J157" s="83"/>
      <c r="K157" s="83"/>
      <c r="L157" s="83"/>
      <c r="M157" s="85"/>
      <c r="N157" s="18">
        <f>SUM(B157:M157)</f>
        <v>1121.27</v>
      </c>
      <c r="O157" s="76">
        <f>N157/$N$178</f>
        <v>0.009340165033711456</v>
      </c>
      <c r="P157" s="77">
        <f>N157/10657.4/12</f>
        <v>0.008767538674223231</v>
      </c>
      <c r="Q157" s="78"/>
      <c r="R157" s="125">
        <f>$R$179/($N$178)*N157</f>
        <v>142.5947117416171</v>
      </c>
      <c r="S157" s="125">
        <f>$S$179/($N$178)*N157</f>
        <v>33.95588977510699</v>
      </c>
      <c r="T157" s="125">
        <f>$T$179/($N$178-$N$165-$N$167)*N157</f>
        <v>399.80742756067895</v>
      </c>
      <c r="U157" s="124">
        <f>N157-R157-S157-T157</f>
        <v>544.911970922597</v>
      </c>
      <c r="V157" s="126">
        <f>U157/12</f>
        <v>45.40933091021642</v>
      </c>
      <c r="W157" s="5" t="s">
        <v>86</v>
      </c>
    </row>
    <row r="158" spans="1:23" ht="12.75">
      <c r="A158" s="5"/>
      <c r="B158" s="16"/>
      <c r="C158" s="83"/>
      <c r="D158" s="83"/>
      <c r="E158" s="83"/>
      <c r="F158" s="83"/>
      <c r="G158" s="83"/>
      <c r="H158" s="83"/>
      <c r="I158" s="83"/>
      <c r="J158" s="83"/>
      <c r="K158" s="83"/>
      <c r="N158" s="18"/>
      <c r="O158" s="78"/>
      <c r="P158" s="77"/>
      <c r="Q158" s="78"/>
      <c r="R158" s="125"/>
      <c r="S158" s="125"/>
      <c r="T158" s="125"/>
      <c r="U158" s="124"/>
      <c r="V158" s="126"/>
      <c r="W158" s="5"/>
    </row>
    <row r="159" spans="1:23" ht="12.75">
      <c r="A159" s="5" t="s">
        <v>37</v>
      </c>
      <c r="B159" s="16">
        <v>219.56</v>
      </c>
      <c r="C159" s="83">
        <v>512.26</v>
      </c>
      <c r="D159" s="83">
        <v>707.73</v>
      </c>
      <c r="E159" s="83">
        <v>62.51</v>
      </c>
      <c r="F159" s="83">
        <v>149.94</v>
      </c>
      <c r="G159" s="83">
        <f>553.5+69.58</f>
        <v>623.08</v>
      </c>
      <c r="H159" s="83">
        <v>88.67</v>
      </c>
      <c r="I159" s="83">
        <v>413.4</v>
      </c>
      <c r="J159" s="83">
        <v>368.1</v>
      </c>
      <c r="K159" s="83">
        <f>1096.61-691.87</f>
        <v>404.7399999999999</v>
      </c>
      <c r="N159" s="18">
        <f>SUM(B159:M159)</f>
        <v>3549.99</v>
      </c>
      <c r="O159" s="76">
        <f>N159/$N$178</f>
        <v>0.02957137216551351</v>
      </c>
      <c r="P159" s="77">
        <f>N159/10657.4/12</f>
        <v>0.02775841199542102</v>
      </c>
      <c r="Q159" s="78"/>
      <c r="R159" s="125">
        <f>$R$179/($N$178)*N159</f>
        <v>451.46111171762664</v>
      </c>
      <c r="S159" s="125">
        <f>$S$179/($N$178)*N159</f>
        <v>107.50583636655941</v>
      </c>
      <c r="T159" s="125">
        <f>$T$179/($N$178-$N$165-$N$167)*N159</f>
        <v>1265.807851602321</v>
      </c>
      <c r="U159" s="124">
        <f>N159-R159-S159-T159</f>
        <v>1725.215200313493</v>
      </c>
      <c r="V159" s="126">
        <f>U159/12</f>
        <v>143.76793335945774</v>
      </c>
      <c r="W159" s="5" t="s">
        <v>37</v>
      </c>
    </row>
    <row r="160" spans="1:23" ht="12.75">
      <c r="A160" s="5"/>
      <c r="B160" s="16"/>
      <c r="C160" s="83"/>
      <c r="D160" s="83"/>
      <c r="E160" s="83"/>
      <c r="F160" s="83"/>
      <c r="G160" s="83"/>
      <c r="H160" s="83"/>
      <c r="I160" s="83"/>
      <c r="J160" s="83"/>
      <c r="K160" s="83"/>
      <c r="N160" s="18"/>
      <c r="O160" s="78"/>
      <c r="P160" s="77"/>
      <c r="Q160" s="78"/>
      <c r="R160" s="125"/>
      <c r="S160" s="125"/>
      <c r="T160" s="125"/>
      <c r="U160" s="124"/>
      <c r="V160" s="126"/>
      <c r="W160" s="5"/>
    </row>
    <row r="161" spans="1:23" ht="12.75">
      <c r="A161" s="5" t="s">
        <v>74</v>
      </c>
      <c r="B161" s="16">
        <v>466.13</v>
      </c>
      <c r="C161" s="83">
        <v>518.43</v>
      </c>
      <c r="D161" s="83">
        <v>451.34</v>
      </c>
      <c r="E161" s="83">
        <v>479.03</v>
      </c>
      <c r="F161" s="83">
        <v>424.85</v>
      </c>
      <c r="G161" s="83">
        <f>162.66+281.74</f>
        <v>444.4</v>
      </c>
      <c r="H161" s="83">
        <v>478.16</v>
      </c>
      <c r="I161" s="83">
        <v>449.17</v>
      </c>
      <c r="J161" s="83">
        <v>537.15</v>
      </c>
      <c r="K161" s="83">
        <v>441.23</v>
      </c>
      <c r="L161" s="83"/>
      <c r="M161" s="85"/>
      <c r="N161" s="18">
        <f>SUM(B161:M161)</f>
        <v>4689.89</v>
      </c>
      <c r="O161" s="76">
        <f>N161/$N$178</f>
        <v>0.039066724865512346</v>
      </c>
      <c r="P161" s="77">
        <f>N161/10657.4/12</f>
        <v>0.03667162409843552</v>
      </c>
      <c r="Q161" s="78"/>
      <c r="R161" s="125">
        <f>$R$179/($N$178)*N161</f>
        <v>596.4250471785499</v>
      </c>
      <c r="S161" s="125">
        <f>$S$179/($N$178)*N161</f>
        <v>142.02590624682418</v>
      </c>
      <c r="T161" s="125">
        <f>$T$179/($N$178-$N$165-$N$167)*N161</f>
        <v>1672.2581148541856</v>
      </c>
      <c r="U161" s="124">
        <f>N161-R161-S161-T161</f>
        <v>2279.1809317204406</v>
      </c>
      <c r="V161" s="126">
        <f>U161/12</f>
        <v>189.93174431003672</v>
      </c>
      <c r="W161" s="5" t="s">
        <v>74</v>
      </c>
    </row>
    <row r="162" spans="1:23" ht="12.75">
      <c r="A162" s="5"/>
      <c r="B162" s="16"/>
      <c r="C162" s="83"/>
      <c r="D162" s="83"/>
      <c r="E162" s="83"/>
      <c r="F162" s="83"/>
      <c r="G162" s="83"/>
      <c r="H162" s="83"/>
      <c r="I162" s="83"/>
      <c r="J162" s="83"/>
      <c r="K162" s="83"/>
      <c r="L162" s="83">
        <f>80.55+68.71+128.02</f>
        <v>277.28</v>
      </c>
      <c r="M162" s="85">
        <v>84.03</v>
      </c>
      <c r="N162" s="18"/>
      <c r="O162" s="78"/>
      <c r="P162" s="77"/>
      <c r="Q162" s="78"/>
      <c r="R162" s="125"/>
      <c r="S162" s="125"/>
      <c r="T162" s="125"/>
      <c r="U162" s="124"/>
      <c r="V162" s="126"/>
      <c r="W162" s="5"/>
    </row>
    <row r="163" spans="1:23" ht="12.75">
      <c r="A163" s="5" t="s">
        <v>39</v>
      </c>
      <c r="B163" s="16">
        <v>179.5</v>
      </c>
      <c r="C163" s="83">
        <v>124</v>
      </c>
      <c r="D163" s="83">
        <v>131.65</v>
      </c>
      <c r="E163" s="83">
        <v>124</v>
      </c>
      <c r="F163" s="83">
        <v>73.6</v>
      </c>
      <c r="G163" s="83">
        <f>7.5+77.5</f>
        <v>85</v>
      </c>
      <c r="H163" s="83">
        <v>100</v>
      </c>
      <c r="I163" s="83">
        <v>77.5</v>
      </c>
      <c r="J163" s="83">
        <f>77.5+5.65</f>
        <v>83.15</v>
      </c>
      <c r="K163" s="83">
        <v>158.75</v>
      </c>
      <c r="L163" s="83"/>
      <c r="M163" s="85"/>
      <c r="N163" s="18">
        <f>SUM(B163:M163)</f>
        <v>1137.15</v>
      </c>
      <c r="O163" s="76">
        <f>N163/$N$178</f>
        <v>0.009472445234497475</v>
      </c>
      <c r="P163" s="77">
        <f>N163/10657.4/12</f>
        <v>0.008891709047234787</v>
      </c>
      <c r="Q163" s="78"/>
      <c r="R163" s="125">
        <f>$R$179/($N$178)*N163</f>
        <v>144.6142110793831</v>
      </c>
      <c r="S163" s="125">
        <f>$S$179/($N$178)*N163</f>
        <v>34.43679047665854</v>
      </c>
      <c r="T163" s="125">
        <f>$T$179/($N$178-$N$165-$N$167)*N163</f>
        <v>405.46970511172697</v>
      </c>
      <c r="U163" s="124">
        <f>N163-R163-S163-T163</f>
        <v>552.6292933322316</v>
      </c>
      <c r="V163" s="126">
        <f>U163/12</f>
        <v>46.0524411110193</v>
      </c>
      <c r="W163" s="5" t="s">
        <v>39</v>
      </c>
    </row>
    <row r="164" spans="1:23" ht="12.75">
      <c r="A164" s="5"/>
      <c r="B164" s="16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5"/>
      <c r="N164" s="18"/>
      <c r="O164" s="78"/>
      <c r="P164" s="77"/>
      <c r="Q164" s="78"/>
      <c r="R164" s="125"/>
      <c r="S164" s="125"/>
      <c r="T164" s="125"/>
      <c r="U164" s="124"/>
      <c r="V164" s="126"/>
      <c r="W164" s="5"/>
    </row>
    <row r="165" spans="1:23" ht="12.75">
      <c r="A165" s="5" t="s">
        <v>40</v>
      </c>
      <c r="B165" s="16">
        <v>5654.71</v>
      </c>
      <c r="C165" s="83">
        <v>5654.71</v>
      </c>
      <c r="D165" s="83">
        <v>5740.8</v>
      </c>
      <c r="E165" s="83">
        <v>5630.33</v>
      </c>
      <c r="F165" s="83">
        <v>5740.8</v>
      </c>
      <c r="G165" s="83">
        <v>5740.8</v>
      </c>
      <c r="H165" s="83">
        <v>5740.8</v>
      </c>
      <c r="I165" s="83">
        <v>5740.8</v>
      </c>
      <c r="J165" s="83">
        <v>5740.8</v>
      </c>
      <c r="K165" s="83">
        <v>5740.8</v>
      </c>
      <c r="L165" s="83">
        <v>5740.8</v>
      </c>
      <c r="M165" s="83">
        <v>5630.33</v>
      </c>
      <c r="N165" s="18">
        <f>SUM(B165:M165)</f>
        <v>68496.48000000001</v>
      </c>
      <c r="O165" s="76">
        <f>N165/$N$178</f>
        <v>0.5705748191143224</v>
      </c>
      <c r="P165" s="77">
        <f>N165/10657.4/12</f>
        <v>0.5355940473286168</v>
      </c>
      <c r="Q165" s="78"/>
      <c r="R165" s="125">
        <f>$R$179/($N$178)*N165</f>
        <v>8710.868765699111</v>
      </c>
      <c r="S165" s="125">
        <f>$S$179/($N$178)*N165</f>
        <v>2074.3076376455456</v>
      </c>
      <c r="T165" s="125">
        <v>0</v>
      </c>
      <c r="U165" s="124">
        <f>N165-R165-S165-T165</f>
        <v>57711.30359665536</v>
      </c>
      <c r="V165" s="126">
        <f>U165/12</f>
        <v>4809.27529972128</v>
      </c>
      <c r="W165" s="5" t="s">
        <v>40</v>
      </c>
    </row>
    <row r="166" spans="1:23" ht="12.75">
      <c r="A166" s="5"/>
      <c r="B166" s="16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5"/>
      <c r="N166" s="18"/>
      <c r="O166" s="78"/>
      <c r="P166" s="77"/>
      <c r="Q166" s="78"/>
      <c r="R166" s="125"/>
      <c r="S166" s="125"/>
      <c r="T166" s="125"/>
      <c r="U166" s="124"/>
      <c r="V166" s="126"/>
      <c r="W166" s="5"/>
    </row>
    <row r="167" spans="1:23" ht="12.75">
      <c r="A167" s="5" t="s">
        <v>41</v>
      </c>
      <c r="B167" s="16"/>
      <c r="C167" s="83">
        <v>1013.81</v>
      </c>
      <c r="D167" s="83">
        <v>1251.33</v>
      </c>
      <c r="E167" s="83">
        <v>1925.72</v>
      </c>
      <c r="F167" s="83">
        <v>1116.66</v>
      </c>
      <c r="G167" s="83">
        <v>1190.64</v>
      </c>
      <c r="H167" s="83">
        <v>1190.64</v>
      </c>
      <c r="I167" s="83">
        <f>1190.64+1500</f>
        <v>2690.6400000000003</v>
      </c>
      <c r="J167" s="83">
        <v>1190.64</v>
      </c>
      <c r="K167" s="83">
        <v>1190.64</v>
      </c>
      <c r="L167" s="83">
        <f>1190.64+900</f>
        <v>2090.6400000000003</v>
      </c>
      <c r="M167" s="83">
        <v>1190.64</v>
      </c>
      <c r="N167" s="18">
        <f>SUM(B167:M167)</f>
        <v>16041.999999999998</v>
      </c>
      <c r="O167" s="76">
        <f>N167/$N$178</f>
        <v>0.13362965875373387</v>
      </c>
      <c r="P167" s="77">
        <f>N167/10657.4/12</f>
        <v>0.12543709847930387</v>
      </c>
      <c r="Q167" s="78"/>
      <c r="R167" s="125">
        <f>$R$179/($N$178)*N167</f>
        <v>2040.1012831512671</v>
      </c>
      <c r="S167" s="125">
        <f>$S$179/($N$178)*N167</f>
        <v>485.8066155094369</v>
      </c>
      <c r="T167" s="125">
        <v>0</v>
      </c>
      <c r="U167" s="124">
        <f>N167-R167-S167-T167</f>
        <v>13516.092101339294</v>
      </c>
      <c r="V167" s="126">
        <f>U167/12</f>
        <v>1126.3410084449413</v>
      </c>
      <c r="W167" s="5" t="s">
        <v>41</v>
      </c>
    </row>
    <row r="168" spans="1:23" ht="12.75">
      <c r="A168" s="5"/>
      <c r="B168" s="16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5"/>
      <c r="N168" s="18"/>
      <c r="O168" s="78"/>
      <c r="P168" s="77"/>
      <c r="Q168" s="78"/>
      <c r="R168" s="125"/>
      <c r="S168" s="125"/>
      <c r="T168" s="125"/>
      <c r="U168" s="124"/>
      <c r="V168" s="126"/>
      <c r="W168" s="5"/>
    </row>
    <row r="169" spans="1:23" ht="12.75">
      <c r="A169" s="5" t="s">
        <v>42</v>
      </c>
      <c r="B169" s="16"/>
      <c r="C169" s="83"/>
      <c r="D169" s="83">
        <v>750</v>
      </c>
      <c r="E169" s="83"/>
      <c r="F169" s="83"/>
      <c r="G169" s="83">
        <v>750</v>
      </c>
      <c r="H169" s="83">
        <v>133.73</v>
      </c>
      <c r="I169" s="83"/>
      <c r="J169" s="83">
        <v>750</v>
      </c>
      <c r="K169" s="83"/>
      <c r="L169" s="83">
        <v>39.2</v>
      </c>
      <c r="M169" s="85">
        <v>750</v>
      </c>
      <c r="N169" s="18">
        <f>SUM(B169:M169)</f>
        <v>3172.9300000000003</v>
      </c>
      <c r="O169" s="76">
        <f>N169/$N$178</f>
        <v>0.026430467095716552</v>
      </c>
      <c r="P169" s="77">
        <f>N169/10657.4/12</f>
        <v>0.024810069372767595</v>
      </c>
      <c r="Q169" s="78"/>
      <c r="R169" s="125">
        <f>$R$179/($N$178)*N169</f>
        <v>403.50944797089835</v>
      </c>
      <c r="S169" s="125">
        <f>$S$179/($N$178)*N169</f>
        <v>96.08717021246464</v>
      </c>
      <c r="T169" s="125">
        <f>$T$179/($N$178-$N$165-$N$167)*N169</f>
        <v>1131.3608507586086</v>
      </c>
      <c r="U169" s="124">
        <f>N169-R169-S169-T169</f>
        <v>1541.9725310580288</v>
      </c>
      <c r="V169" s="126">
        <f>U169/12</f>
        <v>128.4977109215024</v>
      </c>
      <c r="W169" s="5" t="s">
        <v>42</v>
      </c>
    </row>
    <row r="170" spans="1:23" ht="12.75">
      <c r="A170" s="5"/>
      <c r="B170" s="16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5"/>
      <c r="N170" s="18"/>
      <c r="O170" s="78"/>
      <c r="P170" s="77"/>
      <c r="Q170" s="78"/>
      <c r="R170" s="125"/>
      <c r="S170" s="125"/>
      <c r="T170" s="125"/>
      <c r="U170" s="124"/>
      <c r="V170" s="126"/>
      <c r="W170" s="5"/>
    </row>
    <row r="171" spans="1:23" ht="12.75">
      <c r="A171" s="5" t="s">
        <v>23</v>
      </c>
      <c r="B171" s="16">
        <v>870</v>
      </c>
      <c r="C171" s="83">
        <v>858</v>
      </c>
      <c r="D171" s="83"/>
      <c r="E171" s="83">
        <v>896</v>
      </c>
      <c r="F171" s="83"/>
      <c r="G171" s="83"/>
      <c r="H171" s="83">
        <v>894</v>
      </c>
      <c r="I171" s="83">
        <v>853</v>
      </c>
      <c r="J171" s="83"/>
      <c r="K171" s="83">
        <f>894+195</f>
        <v>1089</v>
      </c>
      <c r="L171" s="83">
        <v>195</v>
      </c>
      <c r="M171" s="85">
        <v>195</v>
      </c>
      <c r="N171" s="18">
        <f>SUM(B171:M171)</f>
        <v>5850</v>
      </c>
      <c r="O171" s="76">
        <f>N171/$N$178</f>
        <v>0.04873042661197751</v>
      </c>
      <c r="P171" s="77">
        <f>N171/10657.4/12</f>
        <v>0.04574286411319834</v>
      </c>
      <c r="Q171" s="78"/>
      <c r="R171" s="125">
        <f>$R$179/($N$178)*N171</f>
        <v>743.9591389125367</v>
      </c>
      <c r="S171" s="125">
        <f>$S$179/($N$178)*N171</f>
        <v>177.15800403504588</v>
      </c>
      <c r="T171" s="125">
        <f>$T$179/($N$178-$N$165-$N$167)*N171</f>
        <v>2085.9145890195687</v>
      </c>
      <c r="U171" s="124">
        <f>N171-R171-S171-T171</f>
        <v>2842.9682680328497</v>
      </c>
      <c r="V171" s="126">
        <f>U171/12</f>
        <v>236.91402233607081</v>
      </c>
      <c r="W171" s="5" t="s">
        <v>23</v>
      </c>
    </row>
    <row r="172" spans="1:23" ht="12.75">
      <c r="A172" s="5"/>
      <c r="B172" s="16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5"/>
      <c r="N172" s="18"/>
      <c r="O172" s="76"/>
      <c r="P172" s="77"/>
      <c r="Q172" s="78"/>
      <c r="R172" s="125"/>
      <c r="S172" s="125"/>
      <c r="T172" s="125"/>
      <c r="U172" s="124"/>
      <c r="V172" s="126"/>
      <c r="W172" s="5"/>
    </row>
    <row r="173" spans="1:23" ht="12.75">
      <c r="A173" s="5" t="s">
        <v>87</v>
      </c>
      <c r="B173" s="16"/>
      <c r="C173" s="83"/>
      <c r="D173" s="83"/>
      <c r="E173" s="83"/>
      <c r="F173" s="83"/>
      <c r="G173" s="83">
        <v>750</v>
      </c>
      <c r="H173" s="83"/>
      <c r="I173" s="83"/>
      <c r="J173" s="83"/>
      <c r="K173" s="83">
        <v>-210</v>
      </c>
      <c r="L173" s="83"/>
      <c r="M173" s="85"/>
      <c r="N173" s="18">
        <f>SUM(B173:M173)</f>
        <v>540</v>
      </c>
      <c r="O173" s="76">
        <f>N173/$N$178</f>
        <v>0.004498193225721001</v>
      </c>
      <c r="P173" s="52">
        <f>N173/10657.4/12</f>
        <v>0.004222418225833693</v>
      </c>
      <c r="Q173" s="78"/>
      <c r="R173" s="125">
        <f>$R$179/($N$178)*N173</f>
        <v>68.67315128423415</v>
      </c>
      <c r="S173" s="125">
        <f>$S$179/($N$178)*N173</f>
        <v>16.35304652631193</v>
      </c>
      <c r="T173" s="125">
        <f>$T$179/($N$178-$N$165-$N$167)*N173</f>
        <v>192.5459620633448</v>
      </c>
      <c r="U173" s="124">
        <f>N173-R173-S173-T173</f>
        <v>262.4278401261091</v>
      </c>
      <c r="V173" s="126">
        <f>U173/12</f>
        <v>21.86898667717576</v>
      </c>
      <c r="W173" s="5" t="s">
        <v>87</v>
      </c>
    </row>
    <row r="174" spans="1:23" ht="12.75">
      <c r="A174" s="5"/>
      <c r="B174" s="16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5"/>
      <c r="N174" s="18"/>
      <c r="O174" s="78"/>
      <c r="P174" s="77"/>
      <c r="Q174" s="78"/>
      <c r="R174" s="125"/>
      <c r="S174" s="125"/>
      <c r="T174" s="125"/>
      <c r="U174" s="124"/>
      <c r="V174" s="126"/>
      <c r="W174" s="5"/>
    </row>
    <row r="175" spans="1:23" ht="12.75">
      <c r="A175" s="5" t="s">
        <v>43</v>
      </c>
      <c r="B175" s="16">
        <v>70</v>
      </c>
      <c r="C175" s="83">
        <v>70</v>
      </c>
      <c r="D175" s="83">
        <f>70+111.24</f>
        <v>181.24</v>
      </c>
      <c r="E175" s="83">
        <v>70</v>
      </c>
      <c r="F175" s="83">
        <v>70</v>
      </c>
      <c r="G175" s="83">
        <v>70</v>
      </c>
      <c r="H175" s="83">
        <v>70</v>
      </c>
      <c r="I175" s="83">
        <v>70</v>
      </c>
      <c r="J175" s="83">
        <v>70</v>
      </c>
      <c r="K175" s="83">
        <v>70</v>
      </c>
      <c r="L175" s="83">
        <v>70</v>
      </c>
      <c r="M175" s="85">
        <v>73</v>
      </c>
      <c r="N175" s="18">
        <f>SUM(B175:M175)</f>
        <v>954.24</v>
      </c>
      <c r="O175" s="76">
        <f>N175/$N$178</f>
        <v>0.007948807229096312</v>
      </c>
      <c r="P175" s="77">
        <f>N175/10657.4/12</f>
        <v>0.007461482162628784</v>
      </c>
      <c r="Q175" s="78"/>
      <c r="R175" s="125">
        <f>$R$179/($N$178)*N175</f>
        <v>121.35308866938445</v>
      </c>
      <c r="S175" s="125">
        <f>$S$179/($N$178)*N175</f>
        <v>28.897650217162766</v>
      </c>
      <c r="T175" s="125">
        <f>$T$179/($N$178-$N$165-$N$167)*N175</f>
        <v>340.2501089617151</v>
      </c>
      <c r="U175" s="124">
        <f>N175-R175-S175-T175</f>
        <v>463.7391521517377</v>
      </c>
      <c r="V175" s="126">
        <f>U175/12</f>
        <v>38.64492934597814</v>
      </c>
      <c r="W175" s="5" t="s">
        <v>43</v>
      </c>
    </row>
    <row r="176" spans="1:23" ht="12.75">
      <c r="A176" s="5"/>
      <c r="B176" s="13"/>
      <c r="C176" s="13"/>
      <c r="D176" s="86"/>
      <c r="E176" s="86"/>
      <c r="F176" s="86"/>
      <c r="G176" s="86"/>
      <c r="H176" s="86"/>
      <c r="I176" s="13"/>
      <c r="J176" s="86"/>
      <c r="K176" s="86"/>
      <c r="L176" s="86"/>
      <c r="M176" s="87"/>
      <c r="N176" s="15"/>
      <c r="O176" s="79"/>
      <c r="P176" s="54"/>
      <c r="Q176" s="78"/>
      <c r="R176" s="125"/>
      <c r="S176" s="125"/>
      <c r="T176" s="125"/>
      <c r="U176" s="77"/>
      <c r="V176" s="31"/>
      <c r="W176" s="5"/>
    </row>
    <row r="177" spans="1:22" ht="12.75">
      <c r="A177" s="20"/>
      <c r="B177" s="2"/>
      <c r="C177" s="2"/>
      <c r="D177" s="88"/>
      <c r="E177" s="88"/>
      <c r="F177" s="88"/>
      <c r="G177" s="88"/>
      <c r="H177" s="88"/>
      <c r="I177" s="2"/>
      <c r="J177" s="88"/>
      <c r="K177" s="88"/>
      <c r="L177" s="88"/>
      <c r="M177" s="89"/>
      <c r="N177" s="4"/>
      <c r="O177" s="74"/>
      <c r="P177" s="75"/>
      <c r="Q177" s="74"/>
      <c r="R177" s="127"/>
      <c r="S177" s="127"/>
      <c r="T177" s="127"/>
      <c r="U177" s="75"/>
      <c r="V177" s="28"/>
    </row>
    <row r="178" spans="1:23" ht="12.75">
      <c r="A178" s="22"/>
      <c r="B178" s="16">
        <f>SUM(B148:B175)</f>
        <v>8599.83</v>
      </c>
      <c r="C178" s="16">
        <f>SUM(C148:C175)</f>
        <v>9975.21</v>
      </c>
      <c r="D178" s="83">
        <f>SUM(D148:D175)</f>
        <v>10366.32</v>
      </c>
      <c r="E178" s="83">
        <f>SUM(E148:E175)</f>
        <v>10171.59</v>
      </c>
      <c r="F178" s="83">
        <f>SUM(F148:F175)</f>
        <v>8717.44</v>
      </c>
      <c r="G178" s="83">
        <f>SUM(G148:G175)</f>
        <v>11068.42</v>
      </c>
      <c r="H178" s="83">
        <f>SUM(H148:H175)</f>
        <v>9920.92</v>
      </c>
      <c r="I178" s="16">
        <f>SUM(I148:I175)</f>
        <v>12399.78</v>
      </c>
      <c r="J178" s="83">
        <f>SUM(J148:J175)</f>
        <v>9870.810000000001</v>
      </c>
      <c r="K178" s="111">
        <f>SUM(K148:K175)</f>
        <v>9869.16</v>
      </c>
      <c r="L178" s="83">
        <f>SUM(L148:L175)</f>
        <v>10484.030000000002</v>
      </c>
      <c r="M178" s="90">
        <f>SUM(M148:M175)</f>
        <v>8966</v>
      </c>
      <c r="N178" s="18">
        <f>SUM(N148:N175)</f>
        <v>120048.20000000003</v>
      </c>
      <c r="O178" s="76"/>
      <c r="P178" s="77"/>
      <c r="Q178" s="78"/>
      <c r="R178" s="125">
        <f>SUM(R148:R175)</f>
        <v>15266.829999999998</v>
      </c>
      <c r="S178" s="125">
        <f>SUM(S148:S175)</f>
        <v>3635.47</v>
      </c>
      <c r="T178" s="125">
        <f>SUM(T148:T175)</f>
        <v>12661.579999999993</v>
      </c>
      <c r="U178" s="52">
        <f>SUM(U148:U175)</f>
        <v>88484.32000000004</v>
      </c>
      <c r="V178" s="128">
        <f>U178/10657.4/12</f>
        <v>0.6918848249416684</v>
      </c>
      <c r="W178" t="s">
        <v>120</v>
      </c>
    </row>
    <row r="179" spans="1:22" ht="12.75">
      <c r="A179" s="24"/>
      <c r="B179" s="10"/>
      <c r="C179" s="10"/>
      <c r="D179" s="91"/>
      <c r="E179" s="91"/>
      <c r="F179" s="91"/>
      <c r="G179" s="91"/>
      <c r="H179" s="91"/>
      <c r="I179" s="10"/>
      <c r="J179" s="91"/>
      <c r="K179" s="91"/>
      <c r="L179" s="91"/>
      <c r="M179" s="92"/>
      <c r="N179" s="12"/>
      <c r="O179" s="79"/>
      <c r="P179" s="54"/>
      <c r="Q179" s="79"/>
      <c r="R179" s="129">
        <v>15266.83</v>
      </c>
      <c r="S179" s="129">
        <v>3635.47</v>
      </c>
      <c r="T179" s="129">
        <v>12661.58</v>
      </c>
      <c r="U179" s="54"/>
      <c r="V179" s="34"/>
    </row>
    <row r="180" spans="1:14" ht="12.75">
      <c r="A180" s="1"/>
      <c r="B180" s="1"/>
      <c r="C180" s="1"/>
      <c r="D180" s="59"/>
      <c r="E180" s="59"/>
      <c r="F180" s="59"/>
      <c r="G180" s="59"/>
      <c r="H180" s="59"/>
      <c r="I180" s="1"/>
      <c r="J180" s="59"/>
      <c r="K180" s="59"/>
      <c r="L180" s="59"/>
      <c r="M180" s="59"/>
      <c r="N180" s="1">
        <f>N178-N165-N167</f>
        <v>35509.720000000016</v>
      </c>
    </row>
    <row r="181" spans="1:13" ht="12.75">
      <c r="A181" t="s">
        <v>75</v>
      </c>
      <c r="B181">
        <v>6756</v>
      </c>
      <c r="D181" s="94"/>
      <c r="F181" s="94"/>
      <c r="G181" s="94"/>
      <c r="H181" s="94"/>
      <c r="J181" s="94"/>
      <c r="K181" s="94"/>
      <c r="L181" s="94"/>
      <c r="M181" s="94"/>
    </row>
    <row r="182" spans="1:13" ht="12.75">
      <c r="A182" t="s">
        <v>76</v>
      </c>
      <c r="B182">
        <v>3278.6</v>
      </c>
      <c r="D182" s="94"/>
      <c r="F182" s="94"/>
      <c r="G182" s="94"/>
      <c r="H182" s="94"/>
      <c r="J182" s="94"/>
      <c r="K182" s="94"/>
      <c r="L182" s="94"/>
      <c r="M182" s="94"/>
    </row>
    <row r="183" spans="1:13" ht="12.75">
      <c r="A183" t="s">
        <v>77</v>
      </c>
      <c r="B183">
        <v>622.8</v>
      </c>
      <c r="D183" s="94"/>
      <c r="F183" s="94"/>
      <c r="G183" s="94"/>
      <c r="H183" s="94"/>
      <c r="J183" s="94"/>
      <c r="K183" s="94"/>
      <c r="L183" s="94"/>
      <c r="M183" s="94"/>
    </row>
    <row r="184" spans="2:13" ht="12.75">
      <c r="B184" s="82">
        <f>SUM(B181:B183)</f>
        <v>10657.4</v>
      </c>
      <c r="D184" s="94"/>
      <c r="F184" s="94"/>
      <c r="G184" s="94"/>
      <c r="H184" s="94"/>
      <c r="J184" s="94"/>
      <c r="K184" s="94"/>
      <c r="L184" s="94"/>
      <c r="M184" s="94"/>
    </row>
    <row r="185" spans="4:12" ht="12.75">
      <c r="D185" s="94"/>
      <c r="F185" s="94"/>
      <c r="G185" s="94"/>
      <c r="H185" s="94"/>
      <c r="J185" s="94"/>
      <c r="K185" s="94"/>
      <c r="L185" s="94"/>
    </row>
    <row r="186" spans="4:12" ht="12.75">
      <c r="D186" s="94"/>
      <c r="F186" s="94"/>
      <c r="G186" s="94"/>
      <c r="H186" s="94"/>
      <c r="J186" s="94"/>
      <c r="K186" s="94"/>
      <c r="L186" s="94"/>
    </row>
    <row r="187" spans="11:12" ht="12.75">
      <c r="K187" s="94"/>
      <c r="L187" s="94"/>
    </row>
    <row r="188" spans="11:12" ht="12.75">
      <c r="K188" s="94"/>
      <c r="L188" s="94"/>
    </row>
    <row r="189" spans="11:12" ht="12.75">
      <c r="K189" s="94"/>
      <c r="L189" s="94"/>
    </row>
    <row r="190" ht="12.75">
      <c r="K190" s="94"/>
    </row>
    <row r="191" ht="12.75">
      <c r="K191" s="94"/>
    </row>
    <row r="192" ht="12.75">
      <c r="K192" s="94"/>
    </row>
    <row r="193" ht="12.75">
      <c r="K193" s="94"/>
    </row>
    <row r="194" ht="12.75">
      <c r="K194" s="94"/>
    </row>
    <row r="195" ht="12.75">
      <c r="K195" s="94"/>
    </row>
    <row r="196" ht="12.75">
      <c r="K196" s="94"/>
    </row>
    <row r="197" ht="12.75">
      <c r="K197" s="94"/>
    </row>
    <row r="198" ht="12.75">
      <c r="K198" s="94"/>
    </row>
    <row r="199" ht="12.75">
      <c r="K199" s="94"/>
    </row>
    <row r="200" ht="12.75">
      <c r="K200" s="94"/>
    </row>
    <row r="201" ht="12.75">
      <c r="K201" s="94"/>
    </row>
    <row r="202" ht="12.75">
      <c r="K202" s="94"/>
    </row>
    <row r="203" ht="12.75">
      <c r="K203" s="9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8"/>
  <sheetViews>
    <sheetView tabSelected="1" zoomScale="81" zoomScaleNormal="81" workbookViewId="0" topLeftCell="A157">
      <selection activeCell="C190" sqref="C190"/>
    </sheetView>
  </sheetViews>
  <sheetFormatPr defaultColWidth="12.57421875" defaultRowHeight="12.75"/>
  <cols>
    <col min="1" max="1" width="27.421875" style="0" customWidth="1"/>
    <col min="2" max="2" width="8.140625" style="0" customWidth="1"/>
    <col min="3" max="17" width="10.00390625" style="0" customWidth="1"/>
    <col min="18" max="22" width="11.57421875" style="0" customWidth="1"/>
    <col min="23" max="23" width="33.421875" style="0" customWidth="1"/>
    <col min="24" max="16384" width="11.57421875" style="0" customWidth="1"/>
  </cols>
  <sheetData>
    <row r="1" ht="12.75">
      <c r="G1" s="94"/>
    </row>
    <row r="2" spans="1:13" ht="12.75">
      <c r="A2" s="130">
        <v>2013</v>
      </c>
      <c r="B2" s="108" t="s">
        <v>121</v>
      </c>
      <c r="C2" s="108"/>
      <c r="D2" s="94"/>
      <c r="E2" s="94"/>
      <c r="F2" s="94"/>
      <c r="G2" s="94"/>
      <c r="H2" s="94"/>
      <c r="I2" s="94"/>
      <c r="L2" s="94"/>
      <c r="M2" s="96" t="s">
        <v>122</v>
      </c>
    </row>
    <row r="3" spans="1:13" ht="12.75">
      <c r="A3" s="130"/>
      <c r="B3" s="108"/>
      <c r="C3" s="108"/>
      <c r="D3" s="94"/>
      <c r="E3" s="94"/>
      <c r="F3" s="94"/>
      <c r="G3" s="94"/>
      <c r="H3" s="94"/>
      <c r="I3" s="94"/>
      <c r="L3" s="94"/>
      <c r="M3" s="97" t="s">
        <v>24</v>
      </c>
    </row>
    <row r="4" spans="1:17" ht="12.75">
      <c r="A4" s="2"/>
      <c r="B4" s="2"/>
      <c r="C4" s="2"/>
      <c r="D4" s="88"/>
      <c r="E4" s="88"/>
      <c r="F4" s="88"/>
      <c r="G4" s="88"/>
      <c r="H4" s="88"/>
      <c r="I4" s="88"/>
      <c r="J4" s="2"/>
      <c r="K4" s="2"/>
      <c r="L4" s="88"/>
      <c r="M4" s="98"/>
      <c r="N4" s="4"/>
      <c r="O4" s="28"/>
      <c r="P4" s="29" t="s">
        <v>123</v>
      </c>
      <c r="Q4" s="30"/>
    </row>
    <row r="5" spans="1:17" ht="12.75">
      <c r="A5" s="5" t="s">
        <v>1</v>
      </c>
      <c r="B5" s="6" t="s">
        <v>2</v>
      </c>
      <c r="C5" s="6" t="s">
        <v>3</v>
      </c>
      <c r="D5" s="99" t="s">
        <v>4</v>
      </c>
      <c r="E5" s="99" t="s">
        <v>5</v>
      </c>
      <c r="F5" s="99" t="s">
        <v>6</v>
      </c>
      <c r="G5" s="99" t="s">
        <v>7</v>
      </c>
      <c r="H5" s="99" t="s">
        <v>8</v>
      </c>
      <c r="I5" s="99" t="s">
        <v>9</v>
      </c>
      <c r="J5" s="6" t="s">
        <v>10</v>
      </c>
      <c r="K5" s="99" t="s">
        <v>11</v>
      </c>
      <c r="L5" s="99" t="s">
        <v>12</v>
      </c>
      <c r="M5" s="100" t="s">
        <v>13</v>
      </c>
      <c r="N5" s="8" t="s">
        <v>14</v>
      </c>
      <c r="O5" s="31" t="s">
        <v>47</v>
      </c>
      <c r="P5" s="32"/>
      <c r="Q5" s="33" t="s">
        <v>47</v>
      </c>
    </row>
    <row r="6" spans="1:17" ht="12.75">
      <c r="A6" s="9"/>
      <c r="B6" s="10"/>
      <c r="C6" s="10"/>
      <c r="D6" s="91"/>
      <c r="E6" s="91"/>
      <c r="F6" s="91"/>
      <c r="G6" s="91"/>
      <c r="H6" s="91"/>
      <c r="I6" s="91"/>
      <c r="J6" s="91"/>
      <c r="K6" s="91"/>
      <c r="L6" s="91"/>
      <c r="M6" s="101"/>
      <c r="N6" s="12"/>
      <c r="O6" s="34"/>
      <c r="P6" s="32" t="s">
        <v>48</v>
      </c>
      <c r="Q6" s="131" t="s">
        <v>49</v>
      </c>
    </row>
    <row r="7" spans="1:17" ht="12.75">
      <c r="A7" s="5"/>
      <c r="B7" s="13"/>
      <c r="C7" s="13"/>
      <c r="D7" s="86"/>
      <c r="E7" s="86"/>
      <c r="F7" s="86"/>
      <c r="G7" s="86"/>
      <c r="H7" s="86"/>
      <c r="I7" s="86"/>
      <c r="J7" s="86"/>
      <c r="K7" s="86"/>
      <c r="L7" s="86"/>
      <c r="M7" s="87"/>
      <c r="N7" s="15"/>
      <c r="O7" s="31"/>
      <c r="P7" s="36"/>
      <c r="Q7" s="132"/>
    </row>
    <row r="8" spans="1:17" ht="12.75">
      <c r="A8" s="5" t="s">
        <v>15</v>
      </c>
      <c r="B8" s="16">
        <v>1513</v>
      </c>
      <c r="C8" s="83">
        <f>1700+200</f>
        <v>1900</v>
      </c>
      <c r="D8" s="83">
        <v>1750</v>
      </c>
      <c r="E8" s="83">
        <v>1750</v>
      </c>
      <c r="F8" s="83">
        <v>1750</v>
      </c>
      <c r="G8" s="83">
        <v>1750</v>
      </c>
      <c r="H8" s="83">
        <v>1750</v>
      </c>
      <c r="I8" s="83">
        <v>1750</v>
      </c>
      <c r="J8" s="83">
        <v>1750</v>
      </c>
      <c r="K8" s="83">
        <v>1850</v>
      </c>
      <c r="L8" s="83">
        <f>1750+70</f>
        <v>1820</v>
      </c>
      <c r="M8" s="83">
        <v>1750</v>
      </c>
      <c r="N8" s="18">
        <f>SUM(B8:M8)</f>
        <v>21083</v>
      </c>
      <c r="O8" s="31">
        <f>N8/6756/12</f>
        <v>0.26005279257943553</v>
      </c>
      <c r="P8" s="38">
        <v>24500</v>
      </c>
      <c r="Q8" s="45">
        <f>P8/6756/12</f>
        <v>0.3022005131241366</v>
      </c>
    </row>
    <row r="9" spans="1:17" ht="12.75">
      <c r="A9" s="19"/>
      <c r="B9" s="16"/>
      <c r="C9" s="83"/>
      <c r="D9" s="83"/>
      <c r="E9" s="83"/>
      <c r="F9" s="83"/>
      <c r="G9" s="83"/>
      <c r="H9" s="83"/>
      <c r="I9" s="83"/>
      <c r="J9" s="83"/>
      <c r="K9" s="84"/>
      <c r="L9" s="83"/>
      <c r="M9" s="85"/>
      <c r="N9" s="18"/>
      <c r="O9" s="31"/>
      <c r="P9" s="38"/>
      <c r="Q9" s="45"/>
    </row>
    <row r="10" spans="1:17" ht="12.75">
      <c r="A10" s="5" t="s">
        <v>16</v>
      </c>
      <c r="B10" s="16">
        <f>286.41+148.17+95.26+217.63+239.21</f>
        <v>986.6800000000001</v>
      </c>
      <c r="C10" s="83"/>
      <c r="D10" s="83">
        <f>242.47+109.79+92.02+182.35+218.66</f>
        <v>845.29</v>
      </c>
      <c r="E10" s="83"/>
      <c r="F10" s="83">
        <f>206.91+99.47+79.4+207.38+222.58</f>
        <v>815.74</v>
      </c>
      <c r="G10" s="83"/>
      <c r="H10" s="83">
        <v>595.02</v>
      </c>
      <c r="I10" s="83"/>
      <c r="J10" s="83">
        <v>641.58</v>
      </c>
      <c r="K10" s="84"/>
      <c r="L10" s="83">
        <f>662.95-362.95+432.35-230+70.54+133.65+156.21</f>
        <v>862.7500000000001</v>
      </c>
      <c r="M10" s="85"/>
      <c r="N10" s="18">
        <f>SUM(B10:M10)</f>
        <v>4747.06</v>
      </c>
      <c r="O10" s="31">
        <f>N10/6756/12</f>
        <v>0.058553631340043426</v>
      </c>
      <c r="P10" s="38">
        <v>5200</v>
      </c>
      <c r="Q10" s="45">
        <f>P10/6756/12</f>
        <v>0.06414051707124531</v>
      </c>
    </row>
    <row r="11" spans="1:17" ht="12.75">
      <c r="A11" s="5"/>
      <c r="B11" s="16"/>
      <c r="C11" s="83"/>
      <c r="D11" s="83"/>
      <c r="E11" s="83"/>
      <c r="F11" s="83"/>
      <c r="G11" s="83"/>
      <c r="H11" s="83"/>
      <c r="I11" s="83"/>
      <c r="J11" s="83"/>
      <c r="K11" s="84"/>
      <c r="L11" s="83"/>
      <c r="M11" s="85"/>
      <c r="N11" s="18"/>
      <c r="O11" s="31"/>
      <c r="P11" s="38"/>
      <c r="Q11" s="45"/>
    </row>
    <row r="12" spans="1:17" ht="12.75">
      <c r="A12" s="5" t="s">
        <v>100</v>
      </c>
      <c r="B12" s="16"/>
      <c r="C12" s="83"/>
      <c r="D12" s="83"/>
      <c r="E12" s="83"/>
      <c r="F12" s="83"/>
      <c r="G12" s="83"/>
      <c r="H12" s="83"/>
      <c r="I12" s="83">
        <v>2781.7</v>
      </c>
      <c r="J12" s="83"/>
      <c r="K12" s="84"/>
      <c r="L12" s="83"/>
      <c r="M12" s="85">
        <v>4610.4</v>
      </c>
      <c r="N12" s="18">
        <f>SUM(B12:M12)</f>
        <v>7392.099999999999</v>
      </c>
      <c r="O12" s="31">
        <f>N12/6756/12</f>
        <v>0.09117944543122163</v>
      </c>
      <c r="P12" s="38">
        <v>3000</v>
      </c>
      <c r="Q12" s="45">
        <f>P12/6756/12</f>
        <v>0.03700414446417999</v>
      </c>
    </row>
    <row r="13" spans="1:17" ht="12.75">
      <c r="A13" s="5"/>
      <c r="B13" s="16"/>
      <c r="C13" s="83"/>
      <c r="D13" s="83"/>
      <c r="E13" s="83"/>
      <c r="F13" s="83"/>
      <c r="G13" s="83"/>
      <c r="H13" s="83"/>
      <c r="I13" s="83"/>
      <c r="J13" s="83"/>
      <c r="K13" s="84"/>
      <c r="L13" s="83"/>
      <c r="M13" s="85"/>
      <c r="N13" s="18"/>
      <c r="O13" s="31"/>
      <c r="P13" s="38"/>
      <c r="Q13" s="45"/>
    </row>
    <row r="14" spans="1:17" ht="12.75">
      <c r="A14" s="5" t="s">
        <v>18</v>
      </c>
      <c r="B14" s="16">
        <f>261.04+496</f>
        <v>757.04</v>
      </c>
      <c r="C14" s="83">
        <f>320+496</f>
        <v>816</v>
      </c>
      <c r="D14" s="83">
        <f>260+469</f>
        <v>729</v>
      </c>
      <c r="E14" s="83">
        <v>460</v>
      </c>
      <c r="F14" s="83">
        <f>260+470</f>
        <v>730</v>
      </c>
      <c r="G14" s="83">
        <f>290+470</f>
        <v>760</v>
      </c>
      <c r="H14" s="83">
        <f>260+470</f>
        <v>730</v>
      </c>
      <c r="I14" s="83">
        <f>260+470</f>
        <v>730</v>
      </c>
      <c r="J14" s="83">
        <v>730</v>
      </c>
      <c r="K14" s="83">
        <f>260+470</f>
        <v>730</v>
      </c>
      <c r="L14" s="83">
        <f>260</f>
        <v>260</v>
      </c>
      <c r="M14" s="83">
        <f>469+470+455</f>
        <v>1394</v>
      </c>
      <c r="N14" s="18">
        <f>SUM(B14:M14)</f>
        <v>8826.04</v>
      </c>
      <c r="O14" s="31">
        <f>N14/6756/12</f>
        <v>0.10886668640221038</v>
      </c>
      <c r="P14" s="38">
        <v>9000</v>
      </c>
      <c r="Q14" s="45">
        <f>P14/6756/12</f>
        <v>0.11101243339253997</v>
      </c>
    </row>
    <row r="15" spans="1:17" ht="12.75">
      <c r="A15" s="5"/>
      <c r="B15" s="16"/>
      <c r="C15" s="83"/>
      <c r="D15" s="83"/>
      <c r="E15" s="83"/>
      <c r="F15" s="83"/>
      <c r="G15" s="83"/>
      <c r="H15" s="83"/>
      <c r="I15" s="83"/>
      <c r="J15" s="83"/>
      <c r="K15" s="84"/>
      <c r="L15" s="83"/>
      <c r="M15" s="85"/>
      <c r="N15" s="18"/>
      <c r="O15" s="31"/>
      <c r="P15" s="38"/>
      <c r="Q15" s="45"/>
    </row>
    <row r="16" spans="1:17" ht="12.75">
      <c r="A16" s="5" t="s">
        <v>19</v>
      </c>
      <c r="B16" s="16"/>
      <c r="C16" s="83"/>
      <c r="D16" s="83"/>
      <c r="E16" s="83">
        <v>1000</v>
      </c>
      <c r="F16" s="83"/>
      <c r="G16" s="83">
        <f>1330</f>
        <v>1330</v>
      </c>
      <c r="H16" s="83"/>
      <c r="I16" s="83"/>
      <c r="J16" s="83"/>
      <c r="K16" s="84"/>
      <c r="L16" s="83"/>
      <c r="M16" s="85">
        <v>1749.6</v>
      </c>
      <c r="N16" s="18">
        <f>SUM(B16:M16)</f>
        <v>4079.6</v>
      </c>
      <c r="O16" s="31">
        <f>N16/6756/12</f>
        <v>0.050320702585356224</v>
      </c>
      <c r="P16" s="38">
        <v>4200</v>
      </c>
      <c r="Q16" s="45">
        <f>P16/6756/12</f>
        <v>0.051805802249851984</v>
      </c>
    </row>
    <row r="17" spans="1:17" ht="12.75">
      <c r="A17" s="5"/>
      <c r="B17" s="16"/>
      <c r="C17" s="83"/>
      <c r="D17" s="83"/>
      <c r="E17" s="83"/>
      <c r="F17" s="83"/>
      <c r="G17" s="83"/>
      <c r="H17" s="83"/>
      <c r="I17" s="83"/>
      <c r="J17" s="83"/>
      <c r="K17" s="84"/>
      <c r="L17" s="83"/>
      <c r="M17" s="85"/>
      <c r="N17" s="18"/>
      <c r="O17" s="31"/>
      <c r="P17" s="38"/>
      <c r="Q17" s="45"/>
    </row>
    <row r="18" spans="1:17" ht="12.75">
      <c r="A18" s="5" t="s">
        <v>20</v>
      </c>
      <c r="B18" s="16">
        <v>0</v>
      </c>
      <c r="C18" s="83">
        <f>129.17+79.95+114.02</f>
        <v>323.14</v>
      </c>
      <c r="D18" s="83"/>
      <c r="E18" s="83">
        <f>300.07+61.39</f>
        <v>361.46</v>
      </c>
      <c r="F18" s="83"/>
      <c r="G18" s="83">
        <f>20.14+179.93+80+156.67</f>
        <v>436.74</v>
      </c>
      <c r="H18" s="83">
        <v>31.98</v>
      </c>
      <c r="I18" s="83"/>
      <c r="J18" s="83">
        <v>141.1</v>
      </c>
      <c r="K18" s="84"/>
      <c r="L18" s="83">
        <f>154.11+70.11</f>
        <v>224.22000000000003</v>
      </c>
      <c r="M18" s="85">
        <f>43.76+243+6.8+86.4+47.6+9</f>
        <v>436.56000000000006</v>
      </c>
      <c r="N18" s="18">
        <f>SUM(B18:M18)</f>
        <v>1955.1999999999998</v>
      </c>
      <c r="O18" s="31">
        <f>N18/6756/12</f>
        <v>0.024116834418788233</v>
      </c>
      <c r="P18" s="38">
        <v>2100</v>
      </c>
      <c r="Q18" s="45">
        <f>P18/6756/12</f>
        <v>0.025902901124925992</v>
      </c>
    </row>
    <row r="19" spans="1:17" ht="12.75">
      <c r="A19" s="5"/>
      <c r="B19" s="16"/>
      <c r="C19" s="83"/>
      <c r="D19" s="83"/>
      <c r="E19" s="83"/>
      <c r="F19" s="83"/>
      <c r="G19" s="83"/>
      <c r="H19" s="83"/>
      <c r="I19" s="83"/>
      <c r="J19" s="83"/>
      <c r="K19" s="84"/>
      <c r="L19" s="83"/>
      <c r="M19" s="85"/>
      <c r="N19" s="18"/>
      <c r="O19" s="31"/>
      <c r="P19" s="38"/>
      <c r="Q19" s="45"/>
    </row>
    <row r="20" spans="1:17" ht="12.75">
      <c r="A20" s="5" t="s">
        <v>101</v>
      </c>
      <c r="B20" s="16">
        <v>99.01</v>
      </c>
      <c r="C20" s="83"/>
      <c r="D20" s="83"/>
      <c r="E20" s="83">
        <v>885</v>
      </c>
      <c r="F20" s="83"/>
      <c r="G20" s="83"/>
      <c r="H20" s="83"/>
      <c r="I20" s="83">
        <v>99.75</v>
      </c>
      <c r="J20" s="83">
        <v>1520</v>
      </c>
      <c r="K20" s="84"/>
      <c r="L20" s="83">
        <f>259.2+17+669.12+9.08+95.94+15.01+75.92+137.98+37+150+400</f>
        <v>1866.25</v>
      </c>
      <c r="M20" s="85"/>
      <c r="N20" s="18">
        <f>SUM(B20:M20)</f>
        <v>4470.01</v>
      </c>
      <c r="O20" s="31">
        <f>N20/6756/12</f>
        <v>0.0551362985987764</v>
      </c>
      <c r="P20" s="38">
        <v>1500</v>
      </c>
      <c r="Q20" s="45">
        <f>P20/6756/12</f>
        <v>0.018502072232089994</v>
      </c>
    </row>
    <row r="21" spans="1:17" ht="12.75">
      <c r="A21" s="5"/>
      <c r="B21" s="16"/>
      <c r="C21" s="83"/>
      <c r="D21" s="83"/>
      <c r="E21" s="83"/>
      <c r="F21" s="83"/>
      <c r="G21" s="83"/>
      <c r="H21" s="83"/>
      <c r="I21" s="83"/>
      <c r="J21" s="83"/>
      <c r="K21" s="84"/>
      <c r="L21" s="83"/>
      <c r="M21" s="85"/>
      <c r="N21" s="18"/>
      <c r="O21" s="31"/>
      <c r="P21" s="38"/>
      <c r="Q21" s="45"/>
    </row>
    <row r="22" spans="1:17" ht="12.75">
      <c r="A22" s="5" t="s">
        <v>124</v>
      </c>
      <c r="B22" s="16"/>
      <c r="C22" s="83"/>
      <c r="D22" s="83"/>
      <c r="E22" s="83"/>
      <c r="F22" s="83"/>
      <c r="G22" s="83"/>
      <c r="H22" s="83"/>
      <c r="I22" s="83">
        <v>200</v>
      </c>
      <c r="J22" s="83">
        <v>250</v>
      </c>
      <c r="K22" s="84">
        <v>100</v>
      </c>
      <c r="L22" s="83"/>
      <c r="M22" s="85"/>
      <c r="N22" s="18">
        <f>SUM(B22:M22)</f>
        <v>550</v>
      </c>
      <c r="O22" s="31">
        <f>N22/6756/12</f>
        <v>0.006784093151766331</v>
      </c>
      <c r="P22" s="38">
        <v>600</v>
      </c>
      <c r="Q22" s="45">
        <f>P22/6756/12</f>
        <v>0.007400828892835998</v>
      </c>
    </row>
    <row r="23" spans="1:17" ht="12.75">
      <c r="A23" s="5"/>
      <c r="B23" s="16"/>
      <c r="C23" s="83"/>
      <c r="D23" s="83"/>
      <c r="E23" s="83"/>
      <c r="F23" s="83"/>
      <c r="G23" s="83"/>
      <c r="H23" s="83"/>
      <c r="I23" s="83"/>
      <c r="J23" s="83"/>
      <c r="K23" s="84"/>
      <c r="L23" s="83"/>
      <c r="M23" s="85"/>
      <c r="N23" s="18"/>
      <c r="O23" s="31"/>
      <c r="P23" s="38"/>
      <c r="Q23" s="45"/>
    </row>
    <row r="24" spans="1:17" ht="12.75">
      <c r="A24" s="5" t="s">
        <v>23</v>
      </c>
      <c r="B24" s="16"/>
      <c r="C24" s="83">
        <v>775</v>
      </c>
      <c r="D24" s="83"/>
      <c r="E24" s="83"/>
      <c r="F24" s="83"/>
      <c r="G24" s="83"/>
      <c r="H24" s="83"/>
      <c r="I24" s="83">
        <v>775</v>
      </c>
      <c r="J24" s="83"/>
      <c r="K24" s="84"/>
      <c r="L24" s="83"/>
      <c r="M24" s="85"/>
      <c r="N24" s="18">
        <f>SUM(B24:M24)</f>
        <v>1550</v>
      </c>
      <c r="O24" s="31">
        <f>N24/6756/12</f>
        <v>0.019118807973159662</v>
      </c>
      <c r="P24" s="38">
        <v>1600</v>
      </c>
      <c r="Q24" s="45">
        <f>P24/6756/12</f>
        <v>0.019735543714229326</v>
      </c>
    </row>
    <row r="25" spans="1:17" ht="12.75">
      <c r="A25" s="5"/>
      <c r="B25" s="16"/>
      <c r="C25" s="83"/>
      <c r="D25" s="83"/>
      <c r="E25" s="83"/>
      <c r="F25" s="83"/>
      <c r="G25" s="83"/>
      <c r="H25" s="83"/>
      <c r="I25" s="83"/>
      <c r="J25" s="83"/>
      <c r="K25" s="84"/>
      <c r="L25" s="83"/>
      <c r="M25" s="85"/>
      <c r="N25" s="18"/>
      <c r="O25" s="31"/>
      <c r="P25" s="38"/>
      <c r="Q25" s="45"/>
    </row>
    <row r="26" spans="1:17" ht="12.75">
      <c r="A26" s="5" t="s">
        <v>51</v>
      </c>
      <c r="B26" s="16"/>
      <c r="C26" s="83"/>
      <c r="D26" s="83"/>
      <c r="E26" s="83"/>
      <c r="F26" s="83"/>
      <c r="G26" s="83"/>
      <c r="H26" s="83"/>
      <c r="I26" s="83"/>
      <c r="J26" s="83"/>
      <c r="K26" s="84"/>
      <c r="L26" s="83"/>
      <c r="M26" s="85"/>
      <c r="N26" s="18">
        <f>SUM(B26:M26)</f>
        <v>0</v>
      </c>
      <c r="O26" s="31">
        <f>N26/6756/12</f>
        <v>0</v>
      </c>
      <c r="P26" s="38">
        <v>0</v>
      </c>
      <c r="Q26" s="45">
        <f>P26/6756/12</f>
        <v>0</v>
      </c>
    </row>
    <row r="27" spans="1:17" ht="12.75">
      <c r="A27" s="5"/>
      <c r="B27" s="16"/>
      <c r="C27" s="83"/>
      <c r="D27" s="83"/>
      <c r="E27" s="83"/>
      <c r="F27" s="83"/>
      <c r="G27" s="83"/>
      <c r="H27" s="83"/>
      <c r="I27" s="83"/>
      <c r="J27" s="83"/>
      <c r="K27" s="84"/>
      <c r="L27" s="83"/>
      <c r="M27" s="85"/>
      <c r="N27" s="18"/>
      <c r="O27" s="31"/>
      <c r="P27" s="38"/>
      <c r="Q27" s="45"/>
    </row>
    <row r="28" spans="1:17" ht="12.75">
      <c r="A28" s="5" t="s">
        <v>25</v>
      </c>
      <c r="B28" s="16">
        <v>4174.2</v>
      </c>
      <c r="C28" s="83">
        <v>4081.34</v>
      </c>
      <c r="D28" s="83">
        <v>4197.19</v>
      </c>
      <c r="E28" s="83">
        <v>3880.79</v>
      </c>
      <c r="F28" s="83">
        <v>3889.5</v>
      </c>
      <c r="G28" s="83">
        <v>3979.2</v>
      </c>
      <c r="H28" s="83">
        <v>4371.29</v>
      </c>
      <c r="I28" s="83">
        <f>4260.86+966.67</f>
        <v>5227.53</v>
      </c>
      <c r="J28" s="83">
        <f>3966.22+883.95</f>
        <v>4850.17</v>
      </c>
      <c r="K28" s="84">
        <f>3621.51+1058.86</f>
        <v>4680.37</v>
      </c>
      <c r="L28" s="83">
        <f>3716.74+849.02</f>
        <v>4565.76</v>
      </c>
      <c r="M28" s="85">
        <v>4772.35</v>
      </c>
      <c r="N28" s="18">
        <f>SUM(B28:M28)</f>
        <v>52669.69</v>
      </c>
      <c r="O28" s="107">
        <f>N28/6756/12</f>
        <v>0.649665605881192</v>
      </c>
      <c r="P28" s="38">
        <v>54500</v>
      </c>
      <c r="Q28" s="45">
        <f>P28/6756/12</f>
        <v>0.6722419577659364</v>
      </c>
    </row>
    <row r="29" spans="1:17" ht="12.75">
      <c r="A29" s="5"/>
      <c r="B29" s="16"/>
      <c r="C29" s="83"/>
      <c r="D29" s="83"/>
      <c r="E29" s="83"/>
      <c r="F29" s="83"/>
      <c r="G29" s="83"/>
      <c r="H29" s="83"/>
      <c r="I29" s="83"/>
      <c r="J29" s="83"/>
      <c r="K29" s="84"/>
      <c r="L29" s="83"/>
      <c r="M29" s="85"/>
      <c r="N29" s="18"/>
      <c r="O29" s="31"/>
      <c r="P29" s="38"/>
      <c r="Q29" s="45"/>
    </row>
    <row r="30" spans="1:17" ht="12.75">
      <c r="A30" s="5" t="s">
        <v>52</v>
      </c>
      <c r="B30" s="16">
        <v>220.99</v>
      </c>
      <c r="C30" s="83">
        <v>335.69</v>
      </c>
      <c r="D30" s="83">
        <v>199.13</v>
      </c>
      <c r="E30" s="83">
        <v>1046.11</v>
      </c>
      <c r="F30" s="83">
        <v>596.49</v>
      </c>
      <c r="G30" s="83">
        <v>1260.65</v>
      </c>
      <c r="H30" s="83">
        <v>924.08</v>
      </c>
      <c r="I30" s="83">
        <v>630.84</v>
      </c>
      <c r="J30" s="83">
        <v>278.39</v>
      </c>
      <c r="K30" s="84">
        <v>247.31</v>
      </c>
      <c r="L30" s="83">
        <v>867.47</v>
      </c>
      <c r="M30" s="85">
        <v>244.62</v>
      </c>
      <c r="N30" s="18">
        <f>SUM(B30:M30)</f>
        <v>6851.770000000001</v>
      </c>
      <c r="O30" s="41">
        <f>N30/6756/12</f>
        <v>0.0845146289717782</v>
      </c>
      <c r="P30" s="38">
        <v>7000</v>
      </c>
      <c r="Q30" s="45">
        <f>P30/6756/12</f>
        <v>0.0863430037497533</v>
      </c>
    </row>
    <row r="31" spans="1:17" ht="12.75">
      <c r="A31" s="5"/>
      <c r="B31" s="16"/>
      <c r="C31" s="83"/>
      <c r="D31" s="83"/>
      <c r="E31" s="83"/>
      <c r="F31" s="83"/>
      <c r="G31" s="83"/>
      <c r="H31" s="83"/>
      <c r="I31" s="83"/>
      <c r="J31" s="83"/>
      <c r="K31" s="84"/>
      <c r="L31" s="83"/>
      <c r="M31" s="85"/>
      <c r="N31" s="18"/>
      <c r="O31" s="31"/>
      <c r="P31" s="38"/>
      <c r="Q31" s="45"/>
    </row>
    <row r="32" spans="1:17" ht="12.75">
      <c r="A32" s="5" t="s">
        <v>53</v>
      </c>
      <c r="B32" s="16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5"/>
      <c r="N32" s="18">
        <f>SUM(B32:M32)</f>
        <v>0</v>
      </c>
      <c r="O32" s="31">
        <f>N32/6756/12</f>
        <v>0</v>
      </c>
      <c r="P32" s="38">
        <v>-72.27</v>
      </c>
      <c r="Q32" s="45">
        <f>P32/6756/12</f>
        <v>-0.0008914298401420958</v>
      </c>
    </row>
    <row r="33" spans="1:17" ht="12.75">
      <c r="A33" s="5"/>
      <c r="B33" s="1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15"/>
      <c r="O33" s="31"/>
      <c r="P33" s="42"/>
      <c r="Q33" s="62"/>
    </row>
    <row r="34" spans="1:17" ht="12.75">
      <c r="A34" s="20"/>
      <c r="B34" s="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4"/>
      <c r="O34" s="28"/>
      <c r="P34" s="44"/>
      <c r="Q34" s="45"/>
    </row>
    <row r="35" spans="1:17" ht="12.75">
      <c r="A35" s="22"/>
      <c r="B35" s="16">
        <f>SUM(B8:B32)</f>
        <v>7750.92</v>
      </c>
      <c r="C35" s="83">
        <f>SUM(C8:C32)</f>
        <v>8231.169999999998</v>
      </c>
      <c r="D35" s="83">
        <f>SUM(D8:D32)</f>
        <v>7720.61</v>
      </c>
      <c r="E35" s="83">
        <f>SUM(E8:E32)</f>
        <v>9383.36</v>
      </c>
      <c r="F35" s="83">
        <f>SUM(F8:F32)</f>
        <v>7781.73</v>
      </c>
      <c r="G35" s="83">
        <f>SUM(G8:G32)</f>
        <v>9516.59</v>
      </c>
      <c r="H35" s="83">
        <f>SUM(H8:H32)</f>
        <v>8402.369999999999</v>
      </c>
      <c r="I35" s="83">
        <f>SUM(I8:I32)</f>
        <v>12194.82</v>
      </c>
      <c r="J35" s="83">
        <f>SUM(J8:J32)</f>
        <v>10161.24</v>
      </c>
      <c r="K35" s="83">
        <f>SUM(K8:K32)</f>
        <v>7607.68</v>
      </c>
      <c r="L35" s="83">
        <f>SUM(L8:L32)</f>
        <v>10466.45</v>
      </c>
      <c r="M35" s="90">
        <f>SUM(M8:M32)</f>
        <v>14957.53</v>
      </c>
      <c r="N35" s="18">
        <f>SUM(N8:N32)</f>
        <v>114174.47000000002</v>
      </c>
      <c r="O35" s="18">
        <f>SUM(O8:O32)</f>
        <v>1.408309527333728</v>
      </c>
      <c r="P35" s="44">
        <f>SUM(P8:P32)</f>
        <v>113127.73</v>
      </c>
      <c r="Q35" s="45">
        <f>SUM(Q8:Q32)</f>
        <v>1.3953982879415825</v>
      </c>
    </row>
    <row r="36" spans="1:17" ht="12.75">
      <c r="A36" s="24"/>
      <c r="B36" s="1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12"/>
      <c r="O36" s="34"/>
      <c r="P36" s="46"/>
      <c r="Q36" s="43"/>
    </row>
    <row r="37" spans="1:17" ht="12.75">
      <c r="A37" s="47" t="s">
        <v>53</v>
      </c>
      <c r="B37" s="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48"/>
      <c r="O37" s="49"/>
      <c r="P37" s="50"/>
      <c r="Q37" s="51"/>
    </row>
    <row r="38" spans="1:17" ht="12.75">
      <c r="A38" s="5" t="s">
        <v>54</v>
      </c>
      <c r="B38" s="16">
        <f>(B35-B26-B32)/6756*951</f>
        <v>1091.0486856127886</v>
      </c>
      <c r="C38" s="83">
        <f>(C35-C26-C32)/6756*951</f>
        <v>1158.6504840142093</v>
      </c>
      <c r="D38" s="83">
        <f>(D35-D26-D32)/6756*951</f>
        <v>1086.7821358792185</v>
      </c>
      <c r="E38" s="83">
        <f>(E35-E26-E32)/6756*1077</f>
        <v>1495.8375843694494</v>
      </c>
      <c r="F38" s="83">
        <f>(F35-F26-F32)/6756*1077</f>
        <v>1240.5155728241564</v>
      </c>
      <c r="G38" s="83">
        <f>(G35-G26-G32)/6756*1077</f>
        <v>1517.0762921847247</v>
      </c>
      <c r="H38" s="83">
        <f>(H35-H26-H32)/6756*1077</f>
        <v>1339.4541873889873</v>
      </c>
      <c r="I38" s="83">
        <f>(I35-I26-I32)/6756*1077</f>
        <v>1944.0232593250444</v>
      </c>
      <c r="J38" s="83">
        <f>(J35-J26-J32)/6756*1077</f>
        <v>1619.84243339254</v>
      </c>
      <c r="K38" s="83">
        <f>(K35-K26-K32)/6756*1077</f>
        <v>1212.769591474245</v>
      </c>
      <c r="L38" s="83">
        <f>(L35-L26-L32)/6756*1077</f>
        <v>1668.4971358792186</v>
      </c>
      <c r="M38" s="83">
        <f>(M35-M26-M32)/6756*1077</f>
        <v>2384.437508880995</v>
      </c>
      <c r="N38" s="16">
        <f>SUM(B38:M38)</f>
        <v>17758.934871225578</v>
      </c>
      <c r="O38" s="52">
        <f>O35</f>
        <v>1.408309527333728</v>
      </c>
      <c r="P38" s="53">
        <f>P35</f>
        <v>113127.73</v>
      </c>
      <c r="Q38" s="52">
        <f>Q35</f>
        <v>1.3953982879415825</v>
      </c>
    </row>
    <row r="39" spans="1:17" ht="12.75">
      <c r="A39" s="9" t="s">
        <v>80</v>
      </c>
      <c r="B39" s="1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12"/>
      <c r="O39" s="54"/>
      <c r="P39" s="55"/>
      <c r="Q39" s="56"/>
    </row>
    <row r="40" spans="3:13" ht="12.7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7" ht="12.75">
      <c r="A41" s="133" t="s">
        <v>125</v>
      </c>
      <c r="B41">
        <v>951</v>
      </c>
      <c r="C41">
        <v>951</v>
      </c>
      <c r="D41" s="94">
        <v>951</v>
      </c>
      <c r="E41" s="94">
        <v>1077</v>
      </c>
      <c r="F41" s="94">
        <v>1077</v>
      </c>
      <c r="G41" s="94">
        <v>1077</v>
      </c>
      <c r="H41" s="94">
        <v>1077</v>
      </c>
      <c r="I41" s="94">
        <v>1077</v>
      </c>
      <c r="J41" s="94">
        <v>1077</v>
      </c>
      <c r="K41" s="94">
        <v>1077</v>
      </c>
      <c r="L41" s="94">
        <v>1077</v>
      </c>
      <c r="M41" s="94">
        <v>1077</v>
      </c>
      <c r="P41" s="58"/>
      <c r="Q41" s="59"/>
    </row>
    <row r="42" spans="3:13" ht="12.7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3:13" ht="12.7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t="s">
        <v>56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t="s">
        <v>57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3:13" ht="12.7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3:13" ht="12.7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3:13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3:13" ht="12.7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13" ht="12.7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3:13" ht="12.75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3:13" ht="12.75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3:13" ht="12.75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3:13" ht="12.7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3:13" ht="12.7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130">
        <v>2013</v>
      </c>
      <c r="B56" s="108" t="s">
        <v>126</v>
      </c>
      <c r="C56" s="134"/>
      <c r="D56" s="94"/>
      <c r="E56" s="94"/>
      <c r="F56" s="94"/>
      <c r="G56" s="94"/>
      <c r="H56" s="94"/>
      <c r="I56" s="94"/>
      <c r="J56" s="94"/>
      <c r="K56" s="94"/>
      <c r="L56" s="94"/>
      <c r="M56" s="96" t="s">
        <v>127</v>
      </c>
    </row>
    <row r="57" spans="1:13" ht="12.75">
      <c r="A57" s="130"/>
      <c r="B57" s="108"/>
      <c r="C57" s="134"/>
      <c r="D57" s="94"/>
      <c r="E57" s="94"/>
      <c r="F57" s="94"/>
      <c r="G57" s="94"/>
      <c r="H57" s="94"/>
      <c r="I57" s="94"/>
      <c r="J57" s="94"/>
      <c r="K57" s="94"/>
      <c r="L57" s="94"/>
      <c r="M57" s="97"/>
    </row>
    <row r="58" spans="1:17" ht="12.75">
      <c r="A58" s="2"/>
      <c r="B58" s="2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98"/>
      <c r="N58" s="4"/>
      <c r="O58" s="28"/>
      <c r="P58" s="29" t="s">
        <v>123</v>
      </c>
      <c r="Q58" s="30"/>
    </row>
    <row r="59" spans="1:17" ht="12.75">
      <c r="A59" s="5" t="s">
        <v>1</v>
      </c>
      <c r="B59" s="6" t="s">
        <v>2</v>
      </c>
      <c r="C59" s="99" t="s">
        <v>3</v>
      </c>
      <c r="D59" s="99" t="s">
        <v>4</v>
      </c>
      <c r="E59" s="99" t="s">
        <v>5</v>
      </c>
      <c r="F59" s="99" t="s">
        <v>6</v>
      </c>
      <c r="G59" s="99" t="s">
        <v>7</v>
      </c>
      <c r="H59" s="99" t="s">
        <v>8</v>
      </c>
      <c r="I59" s="99" t="s">
        <v>9</v>
      </c>
      <c r="J59" s="99" t="s">
        <v>10</v>
      </c>
      <c r="K59" s="99" t="s">
        <v>11</v>
      </c>
      <c r="L59" s="99" t="s">
        <v>12</v>
      </c>
      <c r="M59" s="100" t="s">
        <v>13</v>
      </c>
      <c r="N59" s="8" t="s">
        <v>14</v>
      </c>
      <c r="O59" s="31" t="s">
        <v>47</v>
      </c>
      <c r="P59" s="32"/>
      <c r="Q59" s="33" t="s">
        <v>47</v>
      </c>
    </row>
    <row r="60" spans="1:17" ht="12.75">
      <c r="A60" s="9"/>
      <c r="B60" s="1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101"/>
      <c r="N60" s="12"/>
      <c r="O60" s="34"/>
      <c r="P60" s="32" t="s">
        <v>48</v>
      </c>
      <c r="Q60" s="35" t="s">
        <v>49</v>
      </c>
    </row>
    <row r="61" spans="1:17" ht="12.75">
      <c r="A61" s="5"/>
      <c r="B61" s="13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15"/>
      <c r="O61" s="31"/>
      <c r="P61" s="36"/>
      <c r="Q61" s="37"/>
    </row>
    <row r="62" spans="1:17" ht="12.75">
      <c r="A62" s="5" t="s">
        <v>15</v>
      </c>
      <c r="B62" s="16">
        <v>1135</v>
      </c>
      <c r="C62" s="83">
        <v>1250</v>
      </c>
      <c r="D62" s="83">
        <v>1300</v>
      </c>
      <c r="E62" s="83">
        <v>1350</v>
      </c>
      <c r="F62" s="83">
        <v>1350</v>
      </c>
      <c r="G62" s="83">
        <v>1350</v>
      </c>
      <c r="H62" s="83">
        <v>1350</v>
      </c>
      <c r="I62" s="83">
        <v>1350</v>
      </c>
      <c r="J62" s="83">
        <v>1350</v>
      </c>
      <c r="K62" s="83">
        <v>1350</v>
      </c>
      <c r="L62" s="83">
        <v>1350</v>
      </c>
      <c r="M62" s="83">
        <v>1350</v>
      </c>
      <c r="N62" s="18">
        <f>SUM(B62:M62)</f>
        <v>15835</v>
      </c>
      <c r="O62" s="41">
        <f>N62/3276.8/12</f>
        <v>0.4027048746744792</v>
      </c>
      <c r="P62" s="38">
        <v>15600</v>
      </c>
      <c r="Q62" s="45">
        <f>P62/3276.8/12</f>
        <v>0.396728515625</v>
      </c>
    </row>
    <row r="63" spans="1:17" ht="12.75">
      <c r="A63" s="19"/>
      <c r="B63" s="16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5"/>
      <c r="N63" s="18"/>
      <c r="O63" s="41"/>
      <c r="P63" s="38"/>
      <c r="Q63" s="45"/>
    </row>
    <row r="64" spans="1:17" ht="12.75">
      <c r="A64" s="5" t="s">
        <v>103</v>
      </c>
      <c r="B64" s="16">
        <f>341.87+64.1+92.46+85.17+209.16</f>
        <v>792.76</v>
      </c>
      <c r="C64" s="83"/>
      <c r="D64" s="83">
        <f>319.31+63.21+91.99+85.12+210.92</f>
        <v>770.55</v>
      </c>
      <c r="E64" s="83"/>
      <c r="F64" s="83">
        <f>263.69+58.06+85.12+66.75+201.74</f>
        <v>675.36</v>
      </c>
      <c r="G64" s="83"/>
      <c r="H64" s="83">
        <v>594.95</v>
      </c>
      <c r="I64" s="83"/>
      <c r="J64" s="83">
        <v>204.94</v>
      </c>
      <c r="K64" s="83"/>
      <c r="L64" s="83">
        <f>207.59+62.46+85.5+82.69+276.85-117.43</f>
        <v>597.6600000000001</v>
      </c>
      <c r="M64" s="85"/>
      <c r="N64" s="18">
        <f>SUM(B64:M64)</f>
        <v>3636.2200000000003</v>
      </c>
      <c r="O64" s="41">
        <f>N64/3276.8/12</f>
        <v>0.0924738566080729</v>
      </c>
      <c r="P64" s="38">
        <v>3700</v>
      </c>
      <c r="Q64" s="45">
        <f>P64/3276.8/12</f>
        <v>0.09409586588541667</v>
      </c>
    </row>
    <row r="65" spans="1:17" ht="12.75">
      <c r="A65" s="5"/>
      <c r="B65" s="16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5"/>
      <c r="N65" s="18"/>
      <c r="O65" s="41"/>
      <c r="P65" s="38"/>
      <c r="Q65" s="45"/>
    </row>
    <row r="66" spans="1:17" ht="12.75">
      <c r="A66" s="5" t="s">
        <v>18</v>
      </c>
      <c r="B66" s="16">
        <f>196+372</f>
        <v>568</v>
      </c>
      <c r="C66" s="83">
        <f>230+372</f>
        <v>602</v>
      </c>
      <c r="D66" s="83">
        <f>196+352</f>
        <v>548</v>
      </c>
      <c r="E66" s="83">
        <v>200</v>
      </c>
      <c r="F66" s="83">
        <f>200+350</f>
        <v>550</v>
      </c>
      <c r="G66" s="83">
        <f>220+350</f>
        <v>570</v>
      </c>
      <c r="H66" s="83">
        <f>190+350</f>
        <v>540</v>
      </c>
      <c r="I66" s="83">
        <v>540</v>
      </c>
      <c r="J66" s="83">
        <v>540</v>
      </c>
      <c r="K66" s="83">
        <f>190+350</f>
        <v>540</v>
      </c>
      <c r="L66" s="83">
        <f>190</f>
        <v>190</v>
      </c>
      <c r="M66" s="85">
        <f>352+350+196</f>
        <v>898</v>
      </c>
      <c r="N66" s="18">
        <f>SUM(B66:M66)</f>
        <v>6286</v>
      </c>
      <c r="O66" s="41">
        <f>N66/3276.8/12</f>
        <v>0.15986124674479166</v>
      </c>
      <c r="P66" s="38">
        <v>6400</v>
      </c>
      <c r="Q66" s="45">
        <f>P66/3276.8/12</f>
        <v>0.16276041666666666</v>
      </c>
    </row>
    <row r="67" spans="1:17" ht="12.75">
      <c r="A67" s="5"/>
      <c r="B67" s="16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5"/>
      <c r="N67" s="18"/>
      <c r="O67" s="41"/>
      <c r="P67" s="38"/>
      <c r="Q67" s="45"/>
    </row>
    <row r="68" spans="1:17" ht="12.75">
      <c r="A68" s="5" t="s">
        <v>101</v>
      </c>
      <c r="B68" s="16"/>
      <c r="C68" s="83"/>
      <c r="D68" s="83"/>
      <c r="E68" s="83"/>
      <c r="F68" s="83"/>
      <c r="G68" s="83"/>
      <c r="H68" s="83"/>
      <c r="I68" s="83"/>
      <c r="J68" s="83">
        <v>900</v>
      </c>
      <c r="K68" s="83"/>
      <c r="L68" s="83"/>
      <c r="M68" s="85"/>
      <c r="N68" s="18">
        <f>SUM(B68:M68)</f>
        <v>900</v>
      </c>
      <c r="O68" s="41">
        <f>N68/3276.8/12</f>
        <v>0.02288818359375</v>
      </c>
      <c r="P68" s="38">
        <v>1400</v>
      </c>
      <c r="Q68" s="45">
        <f>P68/3276.8/12</f>
        <v>0.035603841145833336</v>
      </c>
    </row>
    <row r="69" spans="1:17" ht="12.75">
      <c r="A69" s="5"/>
      <c r="B69" s="16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5"/>
      <c r="N69" s="18"/>
      <c r="O69" s="41"/>
      <c r="P69" s="38"/>
      <c r="Q69" s="45"/>
    </row>
    <row r="70" spans="1:17" ht="12.75">
      <c r="A70" s="5" t="s">
        <v>19</v>
      </c>
      <c r="B70" s="16"/>
      <c r="C70" s="83"/>
      <c r="D70" s="83"/>
      <c r="E70" s="83">
        <v>600</v>
      </c>
      <c r="F70" s="83"/>
      <c r="G70" s="83"/>
      <c r="H70" s="83"/>
      <c r="I70" s="83"/>
      <c r="J70" s="83"/>
      <c r="K70" s="83"/>
      <c r="L70" s="83"/>
      <c r="M70" s="85" t="s">
        <v>24</v>
      </c>
      <c r="N70" s="18">
        <f>SUM(B70:M70)</f>
        <v>600</v>
      </c>
      <c r="O70" s="41">
        <f>N70/3276.8/12</f>
        <v>0.0152587890625</v>
      </c>
      <c r="P70" s="38">
        <v>1700</v>
      </c>
      <c r="Q70" s="45">
        <f>P70/3276.8/12</f>
        <v>0.043233235677083336</v>
      </c>
    </row>
    <row r="71" spans="1:17" ht="12.75">
      <c r="A71" s="5"/>
      <c r="B71" s="16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5"/>
      <c r="N71" s="18"/>
      <c r="O71" s="41"/>
      <c r="P71" s="38"/>
      <c r="Q71" s="45"/>
    </row>
    <row r="72" spans="1:17" ht="12.75">
      <c r="A72" s="5" t="s">
        <v>20</v>
      </c>
      <c r="B72" s="16">
        <v>0</v>
      </c>
      <c r="C72" s="83">
        <f>335.94</f>
        <v>335.94</v>
      </c>
      <c r="D72" s="83">
        <v>0</v>
      </c>
      <c r="E72" s="83"/>
      <c r="F72" s="83"/>
      <c r="G72" s="83">
        <f>134.95+20+75+45+98.4</f>
        <v>373.35</v>
      </c>
      <c r="H72" s="83">
        <f>83.98+62.73</f>
        <v>146.71</v>
      </c>
      <c r="I72" s="83"/>
      <c r="J72" s="83">
        <v>43.98</v>
      </c>
      <c r="K72" s="83">
        <v>43.2</v>
      </c>
      <c r="L72" s="83">
        <f>63.96+57.55+153.6+28.23+35.83</f>
        <v>339.17</v>
      </c>
      <c r="M72" s="85">
        <f>22+63.03+28.76+143.4+182+140.4</f>
        <v>579.59</v>
      </c>
      <c r="N72" s="18">
        <f>SUM(B72:M72)</f>
        <v>1861.94</v>
      </c>
      <c r="O72" s="41">
        <f>N72/3276.8/12</f>
        <v>0.04735158284505208</v>
      </c>
      <c r="P72" s="38">
        <v>1200</v>
      </c>
      <c r="Q72" s="45">
        <f>P72/3276.8/12</f>
        <v>0.030517578125</v>
      </c>
    </row>
    <row r="73" spans="1:17" ht="12.75">
      <c r="A73" s="5"/>
      <c r="B73" s="16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5"/>
      <c r="N73" s="18"/>
      <c r="O73" s="41"/>
      <c r="P73" s="38"/>
      <c r="Q73" s="45"/>
    </row>
    <row r="74" spans="1:17" ht="12.75">
      <c r="A74" s="5" t="s">
        <v>23</v>
      </c>
      <c r="B74" s="16">
        <f>349+349</f>
        <v>698</v>
      </c>
      <c r="C74" s="83">
        <v>349</v>
      </c>
      <c r="D74" s="83"/>
      <c r="E74" s="83"/>
      <c r="F74" s="83"/>
      <c r="G74" s="83"/>
      <c r="H74" s="83">
        <f>349+349</f>
        <v>698</v>
      </c>
      <c r="I74" s="83">
        <v>349</v>
      </c>
      <c r="J74" s="83"/>
      <c r="K74" s="83"/>
      <c r="L74" s="83"/>
      <c r="M74" s="85"/>
      <c r="N74" s="18">
        <f>SUM(B74:M74)</f>
        <v>2094</v>
      </c>
      <c r="O74" s="41">
        <f>N74/3276.8/12</f>
        <v>0.053253173828125</v>
      </c>
      <c r="P74" s="38">
        <v>2100</v>
      </c>
      <c r="Q74" s="45">
        <f>P74/3276.8/12</f>
        <v>0.05340576171875</v>
      </c>
    </row>
    <row r="75" spans="1:17" ht="12.75">
      <c r="A75" s="5"/>
      <c r="B75" s="16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5"/>
      <c r="N75" s="18"/>
      <c r="O75" s="41"/>
      <c r="P75" s="38"/>
      <c r="Q75" s="45"/>
    </row>
    <row r="76" spans="1:17" ht="12.75">
      <c r="A76" s="5" t="s">
        <v>25</v>
      </c>
      <c r="B76" s="16">
        <v>2025.68</v>
      </c>
      <c r="C76" s="83">
        <v>1980.62</v>
      </c>
      <c r="D76" s="83">
        <v>2036.84</v>
      </c>
      <c r="E76" s="83">
        <v>1883.3</v>
      </c>
      <c r="F76" s="83">
        <v>1887.52</v>
      </c>
      <c r="G76" s="83">
        <v>1931.05</v>
      </c>
      <c r="H76" s="83">
        <v>2121.33</v>
      </c>
      <c r="I76" s="83">
        <f>2067.74+469.11</f>
        <v>2536.85</v>
      </c>
      <c r="J76" s="83">
        <f>1924.75+428.97</f>
        <v>2353.7200000000003</v>
      </c>
      <c r="K76" s="83">
        <f>1757.47+513.85</f>
        <v>2271.32</v>
      </c>
      <c r="L76" s="83">
        <f>1803.69+412.01</f>
        <v>2215.7</v>
      </c>
      <c r="M76" s="85">
        <v>2315.95</v>
      </c>
      <c r="N76" s="18">
        <f>SUM(B76:M76)</f>
        <v>25559.88</v>
      </c>
      <c r="O76" s="41">
        <f>N76/3276.8/12</f>
        <v>0.6500213623046874</v>
      </c>
      <c r="P76" s="38">
        <v>26200</v>
      </c>
      <c r="Q76" s="45">
        <f>P76/3276.8/12</f>
        <v>0.6663004557291666</v>
      </c>
    </row>
    <row r="77" spans="1:17" ht="12.75">
      <c r="A77" s="5"/>
      <c r="B77" s="16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5"/>
      <c r="N77" s="18"/>
      <c r="O77" s="41"/>
      <c r="P77" s="38"/>
      <c r="Q77" s="45"/>
    </row>
    <row r="78" spans="1:17" ht="12.75">
      <c r="A78" s="5" t="s">
        <v>59</v>
      </c>
      <c r="B78" s="16">
        <v>107.25</v>
      </c>
      <c r="C78" s="83">
        <v>162.9</v>
      </c>
      <c r="D78" s="83">
        <v>96.63</v>
      </c>
      <c r="E78" s="83">
        <v>507.66</v>
      </c>
      <c r="F78" s="83">
        <v>289.47</v>
      </c>
      <c r="G78" s="83">
        <v>611.77</v>
      </c>
      <c r="H78" s="83">
        <v>448.45</v>
      </c>
      <c r="I78" s="83">
        <v>306.14</v>
      </c>
      <c r="J78" s="83">
        <v>135.1</v>
      </c>
      <c r="K78" s="83">
        <v>120.02</v>
      </c>
      <c r="L78" s="83">
        <v>420.98</v>
      </c>
      <c r="M78" s="85">
        <v>118.71</v>
      </c>
      <c r="N78" s="18">
        <f>SUM(B78:M78)</f>
        <v>3325.08</v>
      </c>
      <c r="O78" s="41">
        <f>N78/3276.8/12</f>
        <v>0.08456115722656249</v>
      </c>
      <c r="P78" s="38">
        <v>3350</v>
      </c>
      <c r="Q78" s="45">
        <f>P78/3276.8/12</f>
        <v>0.08519490559895833</v>
      </c>
    </row>
    <row r="79" spans="1:17" ht="12.75">
      <c r="A79" s="5"/>
      <c r="B79" s="16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5"/>
      <c r="N79" s="18"/>
      <c r="O79" s="41"/>
      <c r="P79" s="38"/>
      <c r="Q79" s="45"/>
    </row>
    <row r="80" spans="1:17" ht="12.75">
      <c r="A80" s="5" t="s">
        <v>128</v>
      </c>
      <c r="B80" s="16"/>
      <c r="C80" s="83"/>
      <c r="D80" s="83"/>
      <c r="E80" s="83"/>
      <c r="F80" s="83">
        <v>180</v>
      </c>
      <c r="G80" s="83"/>
      <c r="H80" s="83"/>
      <c r="I80" s="83"/>
      <c r="J80" s="83"/>
      <c r="K80" s="83"/>
      <c r="L80" s="83"/>
      <c r="M80" s="85"/>
      <c r="N80" s="18">
        <f>SUM(B80:M80)</f>
        <v>180</v>
      </c>
      <c r="O80" s="41">
        <f>N80/3276.8/12</f>
        <v>0.00457763671875</v>
      </c>
      <c r="P80" s="38"/>
      <c r="Q80" s="45"/>
    </row>
    <row r="81" spans="1:17" ht="12.75">
      <c r="A81" s="5"/>
      <c r="B81" s="16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5"/>
      <c r="N81" s="18"/>
      <c r="O81" s="41"/>
      <c r="P81" s="38"/>
      <c r="Q81" s="45"/>
    </row>
    <row r="82" spans="1:17" ht="12.75">
      <c r="A82" s="5" t="s">
        <v>60</v>
      </c>
      <c r="B82" s="16">
        <v>90</v>
      </c>
      <c r="C82" s="83"/>
      <c r="D82" s="83">
        <f>21+30+36+12+492</f>
        <v>591</v>
      </c>
      <c r="E82" s="83"/>
      <c r="F82" s="83"/>
      <c r="G82" s="83">
        <v>5535</v>
      </c>
      <c r="H82" s="83">
        <v>21</v>
      </c>
      <c r="I82" s="83"/>
      <c r="J82" s="83">
        <v>17</v>
      </c>
      <c r="K82" s="83">
        <f>90+21+42</f>
        <v>153</v>
      </c>
      <c r="L82" s="83">
        <v>2952</v>
      </c>
      <c r="M82" s="85">
        <v>36</v>
      </c>
      <c r="N82" s="18">
        <f>SUM(B82:M82)</f>
        <v>9395</v>
      </c>
      <c r="O82" s="41">
        <f>N82/3276.8/12</f>
        <v>0.23892720540364584</v>
      </c>
      <c r="P82" s="38">
        <v>2100</v>
      </c>
      <c r="Q82" s="45">
        <f>P82/3276.8/12</f>
        <v>0.05340576171875</v>
      </c>
    </row>
    <row r="83" spans="1:17" ht="12.75">
      <c r="A83" s="5"/>
      <c r="B83" s="16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5"/>
      <c r="N83" s="18"/>
      <c r="O83" s="41"/>
      <c r="P83" s="38"/>
      <c r="Q83" s="45"/>
    </row>
    <row r="84" spans="1:17" ht="12.75">
      <c r="A84" s="5" t="s">
        <v>53</v>
      </c>
      <c r="B84" s="16">
        <v>975.92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5"/>
      <c r="N84" s="18">
        <f>SUM(B84:M84)</f>
        <v>975.92</v>
      </c>
      <c r="O84" s="41">
        <f>N84/3276.8/12</f>
        <v>0.02481892903645833</v>
      </c>
      <c r="P84" s="38">
        <v>-716</v>
      </c>
      <c r="Q84" s="45">
        <f>P84/3276.8/12</f>
        <v>-0.018208821614583332</v>
      </c>
    </row>
    <row r="85" spans="1:17" ht="12.75">
      <c r="A85" s="5"/>
      <c r="B85" s="13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7"/>
      <c r="N85" s="18"/>
      <c r="O85" s="41"/>
      <c r="P85" s="61"/>
      <c r="Q85" s="62"/>
    </row>
    <row r="86" spans="1:17" ht="12.75">
      <c r="A86" s="20"/>
      <c r="B86" s="2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48"/>
      <c r="O86" s="63"/>
      <c r="P86" s="38"/>
      <c r="Q86" s="45"/>
    </row>
    <row r="87" spans="1:17" ht="12.75">
      <c r="A87" s="22"/>
      <c r="B87" s="16">
        <f>SUM(B62:B84)</f>
        <v>6392.610000000001</v>
      </c>
      <c r="C87" s="83">
        <f>SUM(C62:C84)</f>
        <v>4680.46</v>
      </c>
      <c r="D87" s="83">
        <f>SUM(D62:D84)</f>
        <v>5343.02</v>
      </c>
      <c r="E87" s="83">
        <f>SUM(E62:E84)</f>
        <v>4540.96</v>
      </c>
      <c r="F87" s="83">
        <f>SUM(F62:F84)</f>
        <v>4932.35</v>
      </c>
      <c r="G87" s="83">
        <f>SUM(G62:G84)</f>
        <v>10371.17</v>
      </c>
      <c r="H87" s="83">
        <f>SUM(H62:H84)</f>
        <v>5920.44</v>
      </c>
      <c r="I87" s="83">
        <f>SUM(I62:I84)</f>
        <v>5081.99</v>
      </c>
      <c r="J87" s="83">
        <f>SUM(J62:J84)</f>
        <v>5544.740000000001</v>
      </c>
      <c r="K87" s="83">
        <f>SUM(K62:K84)</f>
        <v>4477.540000000001</v>
      </c>
      <c r="L87" s="83">
        <f>SUM(L62:L84)</f>
        <v>8065.51</v>
      </c>
      <c r="M87" s="90">
        <f>SUM(M62:M84)</f>
        <v>5298.25</v>
      </c>
      <c r="N87" s="18">
        <f>SUM(N62:N82)</f>
        <v>69673.12</v>
      </c>
      <c r="O87" s="18">
        <f>SUM(O58:O84)</f>
        <v>1.7966979980468751</v>
      </c>
      <c r="P87" s="38">
        <f>SUM(P58:P84)</f>
        <v>63034</v>
      </c>
      <c r="Q87" s="45">
        <f>SUM(Q58:Q84)</f>
        <v>1.6030375162760415</v>
      </c>
    </row>
    <row r="88" spans="1:17" ht="12.75">
      <c r="A88" s="24"/>
      <c r="B88" s="1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2"/>
      <c r="N88" s="64"/>
      <c r="O88" s="65"/>
      <c r="P88" s="61"/>
      <c r="Q88" s="62"/>
    </row>
    <row r="89" spans="1:17" ht="12.75">
      <c r="A89" s="47"/>
      <c r="B89" s="2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8"/>
      <c r="O89" s="49"/>
      <c r="P89" s="50"/>
      <c r="Q89" s="51"/>
    </row>
    <row r="90" spans="1:17" ht="12.75">
      <c r="A90" s="5" t="s">
        <v>52</v>
      </c>
      <c r="B90" s="13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18"/>
      <c r="O90" s="52">
        <f>N90/3276.8/12</f>
        <v>0</v>
      </c>
      <c r="P90" s="53"/>
      <c r="Q90" s="52">
        <f>P90/3276.8/12</f>
        <v>0</v>
      </c>
    </row>
    <row r="91" spans="1:17" ht="12.75">
      <c r="A91" s="9"/>
      <c r="B91" s="1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12"/>
      <c r="O91" s="54"/>
      <c r="P91" s="55"/>
      <c r="Q91" s="56"/>
    </row>
    <row r="92" spans="3:13" ht="12.7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12.75">
      <c r="A93" t="s">
        <v>62</v>
      </c>
      <c r="B93" t="s">
        <v>63</v>
      </c>
      <c r="C93" s="94" t="s">
        <v>62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ht="12.75">
      <c r="A94" s="66" t="s">
        <v>129</v>
      </c>
      <c r="B94" s="67">
        <v>5123.97</v>
      </c>
      <c r="C94" s="112">
        <v>7781.66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ht="12.75">
      <c r="A95" s="66" t="s">
        <v>130</v>
      </c>
      <c r="B95" s="102">
        <f>1041.6*5.3*12</f>
        <v>66245.76</v>
      </c>
      <c r="C95" s="113">
        <f>2237*5.9*12</f>
        <v>158379.6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ht="12.75">
      <c r="A96" s="66" t="s">
        <v>131</v>
      </c>
      <c r="B96" s="113">
        <v>65656.92</v>
      </c>
      <c r="C96" s="113">
        <v>154788.72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ht="12.75">
      <c r="A97" s="66" t="s">
        <v>132</v>
      </c>
      <c r="B97" s="112">
        <v>1700</v>
      </c>
      <c r="C97" s="112">
        <v>3835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ht="12.75">
      <c r="A98" s="66"/>
      <c r="B98" s="67">
        <f>B94+B95-B96-B97</f>
        <v>4012.8099999999977</v>
      </c>
      <c r="C98" s="112">
        <f>C94+C95-C96-C97</f>
        <v>7537.540000000008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ht="12.75">
      <c r="A99" s="66"/>
      <c r="B99" s="67"/>
      <c r="C99" s="112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ht="12.75">
      <c r="A100" s="66"/>
      <c r="B100" s="67"/>
      <c r="C100" s="112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ht="12.75">
      <c r="A101" s="66"/>
      <c r="B101" s="67"/>
      <c r="C101" s="112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12.75">
      <c r="A102" s="66"/>
      <c r="B102" s="67"/>
      <c r="C102" s="112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2.75">
      <c r="A103" s="66"/>
      <c r="B103" s="67"/>
      <c r="C103" s="112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ht="12.75">
      <c r="A104" s="66"/>
      <c r="B104" s="67"/>
      <c r="C104" s="112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3:13" ht="12.7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3:13" ht="12.7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3:13" ht="12.7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3:13" ht="12.7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3:13" ht="12.7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3:13" ht="12.7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3:13" ht="12.7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3:13" ht="12.7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ht="12.75">
      <c r="A113" s="130">
        <v>2013</v>
      </c>
      <c r="B113" s="108" t="s">
        <v>133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6" t="s">
        <v>134</v>
      </c>
    </row>
    <row r="114" spans="1:13" ht="12.75">
      <c r="A114" s="130"/>
      <c r="B114" s="108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7"/>
    </row>
    <row r="115" spans="1:17" ht="12.75">
      <c r="A115" s="2"/>
      <c r="B115" s="2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98"/>
      <c r="N115" s="4"/>
      <c r="O115" s="28"/>
      <c r="P115" s="29" t="s">
        <v>123</v>
      </c>
      <c r="Q115" s="30"/>
    </row>
    <row r="116" spans="1:17" ht="12.75">
      <c r="A116" s="5" t="s">
        <v>1</v>
      </c>
      <c r="B116" s="6" t="s">
        <v>2</v>
      </c>
      <c r="C116" s="99" t="s">
        <v>3</v>
      </c>
      <c r="D116" s="99" t="s">
        <v>4</v>
      </c>
      <c r="E116" s="99" t="s">
        <v>5</v>
      </c>
      <c r="F116" s="99" t="s">
        <v>6</v>
      </c>
      <c r="G116" s="99" t="s">
        <v>7</v>
      </c>
      <c r="H116" s="99" t="s">
        <v>8</v>
      </c>
      <c r="I116" s="99" t="s">
        <v>9</v>
      </c>
      <c r="J116" s="99" t="s">
        <v>10</v>
      </c>
      <c r="K116" s="99" t="s">
        <v>11</v>
      </c>
      <c r="L116" s="99" t="s">
        <v>12</v>
      </c>
      <c r="M116" s="100" t="s">
        <v>13</v>
      </c>
      <c r="N116" s="8" t="s">
        <v>14</v>
      </c>
      <c r="O116" s="31" t="s">
        <v>47</v>
      </c>
      <c r="P116" s="32"/>
      <c r="Q116" s="33" t="s">
        <v>47</v>
      </c>
    </row>
    <row r="117" spans="1:17" ht="12.75">
      <c r="A117" s="9"/>
      <c r="B117" s="1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101"/>
      <c r="N117" s="12"/>
      <c r="O117" s="34"/>
      <c r="P117" s="32" t="s">
        <v>48</v>
      </c>
      <c r="Q117" s="35" t="s">
        <v>49</v>
      </c>
    </row>
    <row r="118" spans="1:17" ht="12.75">
      <c r="A118" s="5"/>
      <c r="B118" s="13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7"/>
      <c r="N118" s="15"/>
      <c r="O118" s="31"/>
      <c r="P118" s="36"/>
      <c r="Q118" s="37"/>
    </row>
    <row r="119" spans="1:17" ht="12.75">
      <c r="A119" s="5" t="s">
        <v>15</v>
      </c>
      <c r="B119" s="16">
        <v>252</v>
      </c>
      <c r="C119" s="83">
        <v>250</v>
      </c>
      <c r="D119" s="83">
        <v>300</v>
      </c>
      <c r="E119" s="83">
        <v>250</v>
      </c>
      <c r="F119" s="83">
        <v>250</v>
      </c>
      <c r="G119" s="83">
        <v>250</v>
      </c>
      <c r="H119" s="83">
        <v>250</v>
      </c>
      <c r="I119" s="83">
        <v>250</v>
      </c>
      <c r="J119" s="83">
        <v>250</v>
      </c>
      <c r="K119" s="83">
        <v>250</v>
      </c>
      <c r="L119" s="83">
        <v>250</v>
      </c>
      <c r="M119" s="83">
        <v>250</v>
      </c>
      <c r="N119" s="18">
        <f>SUM(B119:M119)</f>
        <v>3052</v>
      </c>
      <c r="O119" s="41">
        <f>N119/622.8/12</f>
        <v>0.40837079854420893</v>
      </c>
      <c r="P119" s="38">
        <v>3000</v>
      </c>
      <c r="Q119" s="45">
        <f>P119/622.8/12</f>
        <v>0.40141297366730894</v>
      </c>
    </row>
    <row r="120" spans="1:17" ht="12.75">
      <c r="A120" s="19"/>
      <c r="B120" s="16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5"/>
      <c r="N120" s="18"/>
      <c r="O120" s="41"/>
      <c r="P120" s="38"/>
      <c r="Q120" s="45"/>
    </row>
    <row r="121" spans="1:17" ht="12.75">
      <c r="A121" s="5" t="s">
        <v>103</v>
      </c>
      <c r="B121" s="16">
        <f>50.11+48.98</f>
        <v>99.09</v>
      </c>
      <c r="C121" s="83"/>
      <c r="D121" s="83">
        <f>20.76+13.87</f>
        <v>34.63</v>
      </c>
      <c r="E121" s="83"/>
      <c r="F121" s="83">
        <f>29.94+13.87</f>
        <v>43.81</v>
      </c>
      <c r="G121" s="83"/>
      <c r="H121" s="83">
        <v>40.34</v>
      </c>
      <c r="I121" s="83"/>
      <c r="J121" s="83">
        <v>52.87</v>
      </c>
      <c r="K121" s="83"/>
      <c r="L121" s="83">
        <f>13.31+30.63</f>
        <v>43.94</v>
      </c>
      <c r="M121" s="85"/>
      <c r="N121" s="18">
        <f>SUM(B121:M121)</f>
        <v>314.68</v>
      </c>
      <c r="O121" s="41">
        <f>N121/622.8/12</f>
        <v>0.0421055448512096</v>
      </c>
      <c r="P121" s="38">
        <v>350</v>
      </c>
      <c r="Q121" s="45">
        <f>P121/622.8/12</f>
        <v>0.046831513594519376</v>
      </c>
    </row>
    <row r="122" spans="1:17" ht="12.75">
      <c r="A122" s="5"/>
      <c r="B122" s="16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5"/>
      <c r="N122" s="18"/>
      <c r="O122" s="41"/>
      <c r="P122" s="38"/>
      <c r="Q122" s="45"/>
    </row>
    <row r="123" spans="1:17" ht="12.75">
      <c r="A123" s="5" t="s">
        <v>135</v>
      </c>
      <c r="B123" s="16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5"/>
      <c r="N123" s="18">
        <f>SUM(B123:M123)</f>
        <v>0</v>
      </c>
      <c r="O123" s="41"/>
      <c r="P123" s="38">
        <v>400</v>
      </c>
      <c r="Q123" s="45">
        <f>P123/622.8/12</f>
        <v>0.05352172982230786</v>
      </c>
    </row>
    <row r="124" spans="1:17" ht="12.75">
      <c r="A124" s="5"/>
      <c r="B124" s="16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5"/>
      <c r="N124" s="18"/>
      <c r="O124" s="41"/>
      <c r="P124" s="38"/>
      <c r="Q124" s="45"/>
    </row>
    <row r="125" spans="1:17" ht="12.75">
      <c r="A125" s="5" t="s">
        <v>18</v>
      </c>
      <c r="B125" s="16">
        <f>43+82</f>
        <v>125</v>
      </c>
      <c r="C125" s="83">
        <f>50+82</f>
        <v>132</v>
      </c>
      <c r="D125" s="83">
        <f>44+79</f>
        <v>123</v>
      </c>
      <c r="E125" s="83">
        <v>40</v>
      </c>
      <c r="F125" s="83">
        <f>40+80</f>
        <v>120</v>
      </c>
      <c r="G125" s="83">
        <f>40+80</f>
        <v>120</v>
      </c>
      <c r="H125" s="83">
        <f>50.01+80</f>
        <v>130.01</v>
      </c>
      <c r="I125" s="83">
        <v>130</v>
      </c>
      <c r="J125" s="83">
        <v>130</v>
      </c>
      <c r="K125" s="83">
        <f>50+80</f>
        <v>130</v>
      </c>
      <c r="L125" s="83">
        <f>50</f>
        <v>50</v>
      </c>
      <c r="M125" s="83">
        <f>79+80+43.4</f>
        <v>202.4</v>
      </c>
      <c r="N125" s="18">
        <f>SUM(B125:M125)</f>
        <v>1432.41</v>
      </c>
      <c r="O125" s="41">
        <f>N125/622.8/12</f>
        <v>0.19166265253693002</v>
      </c>
      <c r="P125" s="38">
        <v>1500</v>
      </c>
      <c r="Q125" s="45">
        <f>P125/622.8/12</f>
        <v>0.20070648683365447</v>
      </c>
    </row>
    <row r="126" spans="1:17" ht="12.75">
      <c r="A126" s="5"/>
      <c r="B126" s="16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5"/>
      <c r="N126" s="18"/>
      <c r="O126" s="41"/>
      <c r="P126" s="38"/>
      <c r="Q126" s="45"/>
    </row>
    <row r="127" spans="1:17" ht="12.75">
      <c r="A127" s="5" t="s">
        <v>19</v>
      </c>
      <c r="B127" s="16"/>
      <c r="C127" s="83"/>
      <c r="D127" s="83"/>
      <c r="E127" s="83">
        <v>400</v>
      </c>
      <c r="F127" s="83"/>
      <c r="G127" s="83"/>
      <c r="H127" s="83"/>
      <c r="I127" s="83"/>
      <c r="J127" s="83"/>
      <c r="K127" s="83"/>
      <c r="L127" s="83"/>
      <c r="M127" s="85">
        <v>194.4</v>
      </c>
      <c r="N127" s="18">
        <f>SUM(B127:M127)</f>
        <v>594.4</v>
      </c>
      <c r="O127" s="41">
        <f>N127/622.8/12</f>
        <v>0.07953329051594947</v>
      </c>
      <c r="P127" s="38">
        <v>600</v>
      </c>
      <c r="Q127" s="45">
        <f>P127/622.8/12</f>
        <v>0.08028259473346179</v>
      </c>
    </row>
    <row r="128" spans="1:17" ht="12.75">
      <c r="A128" s="5"/>
      <c r="B128" s="16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5"/>
      <c r="N128" s="18"/>
      <c r="O128" s="41"/>
      <c r="P128" s="38"/>
      <c r="Q128" s="45"/>
    </row>
    <row r="129" spans="1:17" ht="12.75">
      <c r="A129" s="5" t="s">
        <v>20</v>
      </c>
      <c r="B129" s="16">
        <v>0</v>
      </c>
      <c r="C129" s="83">
        <f>104.01</f>
        <v>104.01</v>
      </c>
      <c r="D129" s="83">
        <v>0</v>
      </c>
      <c r="E129" s="83"/>
      <c r="F129" s="83"/>
      <c r="G129" s="83">
        <f>29.98+10</f>
        <v>39.980000000000004</v>
      </c>
      <c r="H129" s="83">
        <f>170+83.99</f>
        <v>253.99</v>
      </c>
      <c r="I129" s="83"/>
      <c r="J129" s="83"/>
      <c r="K129" s="83"/>
      <c r="L129" s="83"/>
      <c r="M129" s="85">
        <v>41.26</v>
      </c>
      <c r="N129" s="18">
        <f>SUM(B129:M129)</f>
        <v>439.24</v>
      </c>
      <c r="O129" s="41">
        <f>N129/622.8/12</f>
        <v>0.05877221151787626</v>
      </c>
      <c r="P129" s="38">
        <v>0</v>
      </c>
      <c r="Q129" s="45">
        <f>P129/622.8/12</f>
        <v>0</v>
      </c>
    </row>
    <row r="130" spans="1:17" ht="12.75">
      <c r="A130" s="5"/>
      <c r="B130" s="16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5"/>
      <c r="N130" s="18"/>
      <c r="O130" s="41"/>
      <c r="P130" s="38"/>
      <c r="Q130" s="45"/>
    </row>
    <row r="131" spans="1:17" ht="12.75">
      <c r="A131" s="5" t="s">
        <v>23</v>
      </c>
      <c r="B131" s="16"/>
      <c r="C131" s="83">
        <v>211</v>
      </c>
      <c r="D131" s="83"/>
      <c r="E131" s="83"/>
      <c r="F131" s="83"/>
      <c r="G131" s="83"/>
      <c r="H131" s="83"/>
      <c r="I131" s="83">
        <v>211</v>
      </c>
      <c r="J131" s="83"/>
      <c r="K131" s="83"/>
      <c r="L131" s="83"/>
      <c r="M131" s="85"/>
      <c r="N131" s="18">
        <f>SUM(B131:M131)</f>
        <v>422</v>
      </c>
      <c r="O131" s="41">
        <f>N131/622.8/12</f>
        <v>0.056465424962534795</v>
      </c>
      <c r="P131" s="38">
        <v>450</v>
      </c>
      <c r="Q131" s="45">
        <f>P131/622.8/12</f>
        <v>0.06021194605009634</v>
      </c>
    </row>
    <row r="132" spans="1:17" ht="12.75">
      <c r="A132" s="5"/>
      <c r="B132" s="16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5"/>
      <c r="N132" s="18"/>
      <c r="O132" s="41"/>
      <c r="P132" s="38"/>
      <c r="Q132" s="45"/>
    </row>
    <row r="133" spans="1:17" ht="12.75">
      <c r="A133" s="5" t="s">
        <v>136</v>
      </c>
      <c r="B133" s="16"/>
      <c r="C133" s="83"/>
      <c r="D133" s="83"/>
      <c r="E133" s="83"/>
      <c r="F133" s="83"/>
      <c r="G133" s="83"/>
      <c r="H133" s="83"/>
      <c r="I133" s="83"/>
      <c r="J133" s="83">
        <v>250</v>
      </c>
      <c r="K133" s="83"/>
      <c r="L133" s="83"/>
      <c r="M133" s="85"/>
      <c r="N133" s="18">
        <f>SUM(B133:M133)</f>
        <v>250</v>
      </c>
      <c r="O133" s="41">
        <f>N133/622.8/12</f>
        <v>0.033451081138942414</v>
      </c>
      <c r="P133" s="38">
        <v>350</v>
      </c>
      <c r="Q133" s="45">
        <f>P133/622.8/12</f>
        <v>0.046831513594519376</v>
      </c>
    </row>
    <row r="134" spans="1:17" ht="12.75">
      <c r="A134" s="5"/>
      <c r="B134" s="16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5"/>
      <c r="N134" s="18"/>
      <c r="O134" s="41"/>
      <c r="P134" s="38"/>
      <c r="Q134" s="45"/>
    </row>
    <row r="135" spans="1:17" ht="12.75">
      <c r="A135" s="5" t="s">
        <v>25</v>
      </c>
      <c r="B135" s="16">
        <v>384.8</v>
      </c>
      <c r="C135" s="83">
        <v>376.24</v>
      </c>
      <c r="D135" s="83">
        <v>386.92</v>
      </c>
      <c r="E135" s="83">
        <v>357.75</v>
      </c>
      <c r="F135" s="83">
        <v>358.55</v>
      </c>
      <c r="G135" s="83">
        <v>366.82</v>
      </c>
      <c r="H135" s="83">
        <v>402.97</v>
      </c>
      <c r="I135" s="83">
        <f>392.79+89.11</f>
        <v>481.90000000000003</v>
      </c>
      <c r="J135" s="83">
        <f>365.62+81.49</f>
        <v>447.11</v>
      </c>
      <c r="K135" s="83">
        <f>333.85+97.61</f>
        <v>431.46000000000004</v>
      </c>
      <c r="L135" s="83">
        <f>342.63+78.27</f>
        <v>420.9</v>
      </c>
      <c r="M135" s="85">
        <v>439.93</v>
      </c>
      <c r="N135" s="18">
        <f>SUM(B135:M135)</f>
        <v>4855.35</v>
      </c>
      <c r="O135" s="41">
        <f>N135/622.8/12</f>
        <v>0.6496668272318562</v>
      </c>
      <c r="P135" s="38">
        <v>5000</v>
      </c>
      <c r="Q135" s="45">
        <f>P135/622.8/12</f>
        <v>0.6690216227788482</v>
      </c>
    </row>
    <row r="136" spans="1:17" ht="12.75">
      <c r="A136" s="5"/>
      <c r="B136" s="16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5"/>
      <c r="N136" s="18"/>
      <c r="O136" s="41"/>
      <c r="P136" s="38"/>
      <c r="Q136" s="45"/>
    </row>
    <row r="137" spans="1:17" ht="12.75">
      <c r="A137" s="5" t="s">
        <v>59</v>
      </c>
      <c r="B137" s="16">
        <v>20.37</v>
      </c>
      <c r="C137" s="83">
        <v>30.94</v>
      </c>
      <c r="D137" s="83">
        <v>18.36</v>
      </c>
      <c r="E137" s="83">
        <v>96.44</v>
      </c>
      <c r="F137" s="83">
        <v>54.99</v>
      </c>
      <c r="G137" s="83">
        <v>116.21</v>
      </c>
      <c r="H137" s="83">
        <v>85.19</v>
      </c>
      <c r="I137" s="83">
        <v>58.15</v>
      </c>
      <c r="J137" s="83">
        <v>25.66</v>
      </c>
      <c r="K137" s="83">
        <v>22.8</v>
      </c>
      <c r="L137" s="83">
        <v>79.97</v>
      </c>
      <c r="M137" s="85">
        <v>22.55</v>
      </c>
      <c r="N137" s="18">
        <f>SUM(B137:M137)</f>
        <v>631.63</v>
      </c>
      <c r="O137" s="41">
        <f>N137/622.8/12</f>
        <v>0.08451482551916079</v>
      </c>
      <c r="P137" s="38">
        <v>700</v>
      </c>
      <c r="Q137" s="45">
        <f>P137/622.8/12</f>
        <v>0.09366302718903875</v>
      </c>
    </row>
    <row r="138" spans="1:17" ht="12.75">
      <c r="A138" s="5"/>
      <c r="B138" s="16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5"/>
      <c r="N138" s="18"/>
      <c r="O138" s="41"/>
      <c r="P138" s="38"/>
      <c r="Q138" s="45"/>
    </row>
    <row r="139" spans="1:17" ht="12.75">
      <c r="A139" s="5" t="s">
        <v>53</v>
      </c>
      <c r="B139" s="16">
        <v>230.03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5"/>
      <c r="N139" s="18">
        <f>SUM(B139:M139)</f>
        <v>230.03</v>
      </c>
      <c r="O139" s="41">
        <f>N139/622.8/12</f>
        <v>0.030779008777563694</v>
      </c>
      <c r="P139" s="38">
        <v>1101.86</v>
      </c>
      <c r="Q139" s="45">
        <f>P139/622.8/12</f>
        <v>0.14743363305502033</v>
      </c>
    </row>
    <row r="140" spans="1:17" ht="12.75">
      <c r="A140" s="5"/>
      <c r="B140" s="13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7"/>
      <c r="N140" s="15"/>
      <c r="O140" s="41"/>
      <c r="P140" s="61"/>
      <c r="Q140" s="62"/>
    </row>
    <row r="141" spans="1:17" ht="12.75">
      <c r="A141" s="20"/>
      <c r="B141" s="2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9"/>
      <c r="N141" s="4"/>
      <c r="O141" s="63"/>
      <c r="P141" s="38"/>
      <c r="Q141" s="45"/>
    </row>
    <row r="142" spans="1:17" ht="12.75">
      <c r="A142" s="22"/>
      <c r="B142" s="16">
        <f>SUM(B119:B139)</f>
        <v>1111.29</v>
      </c>
      <c r="C142" s="83">
        <f>SUM(C119:C139)</f>
        <v>1104.19</v>
      </c>
      <c r="D142" s="83">
        <f>SUM(D119:D139)</f>
        <v>862.91</v>
      </c>
      <c r="E142" s="83">
        <f>SUM(E119:E139)</f>
        <v>1144.19</v>
      </c>
      <c r="F142" s="83">
        <f>SUM(F119:F139)</f>
        <v>827.35</v>
      </c>
      <c r="G142" s="83">
        <f>SUM(G119:G139)</f>
        <v>893.01</v>
      </c>
      <c r="H142" s="83">
        <f>SUM(H119:H139)</f>
        <v>1162.5</v>
      </c>
      <c r="I142" s="83">
        <f>SUM(I119:I139)</f>
        <v>1131.0500000000002</v>
      </c>
      <c r="J142" s="83">
        <f>SUM(J119:J139)</f>
        <v>1155.6399999999999</v>
      </c>
      <c r="K142" s="83">
        <f>SUM(K119:K139)</f>
        <v>834.26</v>
      </c>
      <c r="L142" s="83">
        <f>SUM(L119:L139)</f>
        <v>844.81</v>
      </c>
      <c r="M142" s="83">
        <f>SUM(M119:M139)</f>
        <v>1150.54</v>
      </c>
      <c r="N142" s="18">
        <f>SUM(N119:N137)</f>
        <v>11991.710000000001</v>
      </c>
      <c r="O142" s="18">
        <f>SUM(O114:O139)</f>
        <v>1.6353216655962322</v>
      </c>
      <c r="P142" s="38">
        <f>SUM(P114:P139)</f>
        <v>13451.86</v>
      </c>
      <c r="Q142" s="45">
        <f>SUM(Q114:Q139)</f>
        <v>1.7999170413187755</v>
      </c>
    </row>
    <row r="143" spans="1:17" ht="12.75">
      <c r="A143" s="24"/>
      <c r="B143" s="1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2"/>
      <c r="N143" s="12"/>
      <c r="O143" s="65"/>
      <c r="P143" s="61"/>
      <c r="Q143" s="62"/>
    </row>
    <row r="144" spans="1:17" ht="12.75">
      <c r="A144" s="47" t="s">
        <v>53</v>
      </c>
      <c r="B144" s="2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48"/>
      <c r="O144" s="68"/>
      <c r="P144" s="50"/>
      <c r="Q144" s="51"/>
    </row>
    <row r="145" spans="1:17" ht="12.75">
      <c r="A145" s="5" t="s">
        <v>69</v>
      </c>
      <c r="B145" s="83">
        <f>(B142-B139)/622.8*207.6</f>
        <v>293.75333333333333</v>
      </c>
      <c r="C145" s="83">
        <f>(C142-C139)/622.8*207.6</f>
        <v>368.0633333333334</v>
      </c>
      <c r="D145" s="83">
        <f>(D142-D139)/622.8*207.6</f>
        <v>287.6366666666667</v>
      </c>
      <c r="E145" s="83">
        <f>(E142-E139)/622.8*207.6</f>
        <v>381.3966666666667</v>
      </c>
      <c r="F145" s="83">
        <f>(F142-F139)/622.8*207.6</f>
        <v>275.78333333333336</v>
      </c>
      <c r="G145" s="83">
        <f>(G142-G139)/622.8*207.6</f>
        <v>297.67</v>
      </c>
      <c r="H145" s="83">
        <f>(H142-H139)/622.8*207.6</f>
        <v>387.5</v>
      </c>
      <c r="I145" s="83">
        <f>(I142-I139)/622.8*207.6</f>
        <v>377.01666666666677</v>
      </c>
      <c r="J145" s="83">
        <f>(J142-J139)/622.8*207.6</f>
        <v>385.2133333333333</v>
      </c>
      <c r="K145" s="83">
        <f>(K142-K139)/622.8*207.6</f>
        <v>278.08666666666664</v>
      </c>
      <c r="L145" s="83">
        <f>(L142-L139)/622.8*207.6</f>
        <v>281.60333333333335</v>
      </c>
      <c r="M145" s="83">
        <f>(M142-M139)/622.8*207.6</f>
        <v>383.5133333333334</v>
      </c>
      <c r="N145" s="16">
        <f>(N142-N133-N139)/622.8*207.6</f>
        <v>3837.226666666667</v>
      </c>
      <c r="O145" s="16"/>
      <c r="P145" s="16">
        <f>(P142-P133-P139)/622.8*207.6</f>
        <v>4000</v>
      </c>
      <c r="Q145" s="16"/>
    </row>
    <row r="146" spans="1:17" ht="12.75">
      <c r="A146" s="9"/>
      <c r="B146" s="1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12"/>
      <c r="O146" s="25"/>
      <c r="P146" s="55"/>
      <c r="Q146" s="56"/>
    </row>
    <row r="147" spans="3:13" ht="12.75"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1:13" ht="12.75">
      <c r="A148" s="133" t="s">
        <v>125</v>
      </c>
      <c r="B148">
        <v>207.6</v>
      </c>
      <c r="C148" s="94">
        <v>207.6</v>
      </c>
      <c r="D148" s="94">
        <v>207.6</v>
      </c>
      <c r="E148" s="94">
        <v>207.6</v>
      </c>
      <c r="F148" s="94">
        <v>207.6</v>
      </c>
      <c r="G148" s="94">
        <v>207.6</v>
      </c>
      <c r="H148" s="94">
        <v>207.6</v>
      </c>
      <c r="I148" s="94">
        <v>207.6</v>
      </c>
      <c r="J148" s="94">
        <v>207.6</v>
      </c>
      <c r="K148" s="94">
        <v>207.6</v>
      </c>
      <c r="L148" s="94">
        <v>207.6</v>
      </c>
      <c r="M148" s="94">
        <v>207.6</v>
      </c>
    </row>
    <row r="149" spans="3:13" ht="12.75">
      <c r="C149" s="94"/>
      <c r="D149" s="94"/>
      <c r="E149" s="94"/>
      <c r="F149" s="94"/>
      <c r="G149" s="94"/>
      <c r="H149" s="94"/>
      <c r="I149" s="94"/>
      <c r="J149" s="103"/>
      <c r="K149" s="103"/>
      <c r="L149" s="103"/>
      <c r="M149" s="103"/>
    </row>
    <row r="150" spans="3:13" ht="12.75">
      <c r="C150" s="94"/>
      <c r="D150" s="94"/>
      <c r="E150" s="94"/>
      <c r="F150" s="94"/>
      <c r="G150" s="94"/>
      <c r="H150" s="94"/>
      <c r="I150" s="94"/>
      <c r="J150" s="103"/>
      <c r="K150" s="103"/>
      <c r="L150" s="103"/>
      <c r="M150" s="103"/>
    </row>
    <row r="151" spans="3:13" ht="12.75">
      <c r="C151" s="94"/>
      <c r="D151" s="94"/>
      <c r="E151" s="94"/>
      <c r="F151" s="94"/>
      <c r="G151" s="94"/>
      <c r="H151" s="94"/>
      <c r="I151" s="94"/>
      <c r="J151" s="103"/>
      <c r="K151" s="103"/>
      <c r="L151" s="103"/>
      <c r="M151" s="103"/>
    </row>
    <row r="152" spans="3:13" ht="12.75">
      <c r="C152" s="94"/>
      <c r="D152" s="94"/>
      <c r="E152" s="94"/>
      <c r="F152" s="94"/>
      <c r="G152" s="94"/>
      <c r="H152" s="94"/>
      <c r="I152" s="94"/>
      <c r="J152" s="103"/>
      <c r="K152" s="103"/>
      <c r="L152" s="103"/>
      <c r="M152" s="103"/>
    </row>
    <row r="153" spans="3:13" ht="12.75">
      <c r="C153" s="94"/>
      <c r="D153" s="94"/>
      <c r="E153" s="94"/>
      <c r="F153" s="94"/>
      <c r="G153" s="94"/>
      <c r="H153" s="94"/>
      <c r="I153" s="94"/>
      <c r="J153" s="103"/>
      <c r="K153" s="103"/>
      <c r="L153" s="103"/>
      <c r="M153" s="103"/>
    </row>
    <row r="154" spans="3:13" ht="12.75">
      <c r="C154" s="94"/>
      <c r="D154" s="94"/>
      <c r="E154" s="94"/>
      <c r="F154" s="94"/>
      <c r="G154" s="94"/>
      <c r="H154" s="94"/>
      <c r="I154" s="94"/>
      <c r="J154" s="103"/>
      <c r="K154" s="103"/>
      <c r="L154" s="103"/>
      <c r="M154" s="103"/>
    </row>
    <row r="155" spans="3:13" ht="12.75">
      <c r="C155" s="94"/>
      <c r="D155" s="94"/>
      <c r="E155" s="94"/>
      <c r="F155" s="94"/>
      <c r="G155" s="94"/>
      <c r="H155" s="94"/>
      <c r="I155" s="94"/>
      <c r="J155" s="103"/>
      <c r="K155" s="103"/>
      <c r="L155" s="103"/>
      <c r="M155" s="103"/>
    </row>
    <row r="156" spans="3:13" ht="12.75">
      <c r="C156" s="94"/>
      <c r="D156" s="94"/>
      <c r="E156" s="94"/>
      <c r="F156" s="94"/>
      <c r="G156" s="94"/>
      <c r="H156" s="94"/>
      <c r="I156" s="94"/>
      <c r="J156" s="103"/>
      <c r="K156" s="103"/>
      <c r="L156" s="103"/>
      <c r="M156" s="103"/>
    </row>
    <row r="157" spans="3:13" ht="12.75">
      <c r="C157" s="94"/>
      <c r="D157" s="94"/>
      <c r="E157" s="94"/>
      <c r="F157" s="94"/>
      <c r="G157" s="94"/>
      <c r="H157" s="94"/>
      <c r="I157" s="94"/>
      <c r="J157" s="103"/>
      <c r="K157" s="103"/>
      <c r="L157" s="103"/>
      <c r="M157" s="103"/>
    </row>
    <row r="158" spans="3:13" ht="12.75">
      <c r="C158" s="94"/>
      <c r="D158" s="94"/>
      <c r="E158" s="94"/>
      <c r="F158" s="94"/>
      <c r="G158" s="94"/>
      <c r="H158" s="94"/>
      <c r="I158" s="94"/>
      <c r="J158" s="103"/>
      <c r="K158" s="103"/>
      <c r="L158" s="103"/>
      <c r="M158" s="103"/>
    </row>
    <row r="159" spans="3:13" ht="12.75">
      <c r="C159" s="94"/>
      <c r="D159" s="94"/>
      <c r="E159" s="94"/>
      <c r="F159" s="94"/>
      <c r="G159" s="94"/>
      <c r="H159" s="94"/>
      <c r="I159" s="94"/>
      <c r="J159" s="103"/>
      <c r="K159" s="103"/>
      <c r="L159" s="103"/>
      <c r="M159" s="103"/>
    </row>
    <row r="160" spans="3:13" ht="12.75">
      <c r="C160" s="94"/>
      <c r="D160" s="94"/>
      <c r="E160" s="94"/>
      <c r="F160" s="94"/>
      <c r="G160" s="94"/>
      <c r="H160" s="94"/>
      <c r="I160" s="94"/>
      <c r="J160" s="103"/>
      <c r="K160" s="103"/>
      <c r="L160" s="103"/>
      <c r="M160" s="103"/>
    </row>
    <row r="161" spans="3:13" ht="12.75">
      <c r="C161" s="94"/>
      <c r="D161" s="94"/>
      <c r="E161" s="94"/>
      <c r="F161" s="94"/>
      <c r="G161" s="94"/>
      <c r="H161" s="94"/>
      <c r="I161" s="94"/>
      <c r="J161" s="103"/>
      <c r="K161" s="103"/>
      <c r="L161" s="103"/>
      <c r="M161" s="103"/>
    </row>
    <row r="162" spans="4:13" ht="12.75"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3:19" ht="12.75"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S163" s="108" t="s">
        <v>137</v>
      </c>
    </row>
    <row r="164" spans="1:21" ht="12.75">
      <c r="A164" s="71">
        <v>2013</v>
      </c>
      <c r="B164" s="108" t="s">
        <v>31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6" t="s">
        <v>138</v>
      </c>
      <c r="U164" s="26" t="s">
        <v>139</v>
      </c>
    </row>
    <row r="165" spans="3:13" ht="12.75"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7"/>
    </row>
    <row r="166" spans="1:23" ht="12.75">
      <c r="A166" s="2"/>
      <c r="B166" s="2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4"/>
      <c r="O166" s="114"/>
      <c r="P166" s="106"/>
      <c r="Q166" s="115"/>
      <c r="R166" s="114" t="s">
        <v>111</v>
      </c>
      <c r="S166" s="114"/>
      <c r="T166" s="114"/>
      <c r="U166" s="114"/>
      <c r="V166" s="28"/>
      <c r="W166" s="2"/>
    </row>
    <row r="167" spans="1:23" ht="12.75">
      <c r="A167" s="5" t="s">
        <v>1</v>
      </c>
      <c r="B167" s="6" t="s">
        <v>2</v>
      </c>
      <c r="C167" s="99" t="s">
        <v>3</v>
      </c>
      <c r="D167" s="99" t="s">
        <v>4</v>
      </c>
      <c r="E167" s="99" t="s">
        <v>5</v>
      </c>
      <c r="F167" s="99" t="s">
        <v>6</v>
      </c>
      <c r="G167" s="99" t="s">
        <v>7</v>
      </c>
      <c r="H167" s="99" t="s">
        <v>8</v>
      </c>
      <c r="I167" s="99" t="s">
        <v>9</v>
      </c>
      <c r="J167" s="99" t="s">
        <v>10</v>
      </c>
      <c r="K167" s="99" t="s">
        <v>11</v>
      </c>
      <c r="L167" s="99" t="s">
        <v>12</v>
      </c>
      <c r="M167" s="100" t="s">
        <v>13</v>
      </c>
      <c r="N167" s="8" t="s">
        <v>14</v>
      </c>
      <c r="O167" s="71" t="s">
        <v>71</v>
      </c>
      <c r="P167" s="72" t="s">
        <v>72</v>
      </c>
      <c r="Q167" s="116"/>
      <c r="R167" s="117" t="s">
        <v>112</v>
      </c>
      <c r="S167" s="117" t="s">
        <v>113</v>
      </c>
      <c r="T167" s="117" t="s">
        <v>114</v>
      </c>
      <c r="U167" s="118" t="s">
        <v>115</v>
      </c>
      <c r="V167" s="119"/>
      <c r="W167" s="5" t="s">
        <v>1</v>
      </c>
    </row>
    <row r="168" spans="1:23" ht="12.75">
      <c r="A168" s="9"/>
      <c r="B168" s="1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101"/>
      <c r="N168" s="12"/>
      <c r="O168" s="120"/>
      <c r="P168" s="105" t="s">
        <v>73</v>
      </c>
      <c r="Q168" s="121"/>
      <c r="R168" s="10"/>
      <c r="S168" s="10" t="s">
        <v>116</v>
      </c>
      <c r="T168" s="10" t="s">
        <v>117</v>
      </c>
      <c r="U168" s="122" t="s">
        <v>118</v>
      </c>
      <c r="V168" s="123" t="s">
        <v>119</v>
      </c>
      <c r="W168" s="9"/>
    </row>
    <row r="169" spans="1:23" ht="12.75">
      <c r="A169" s="5"/>
      <c r="B169" s="13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7"/>
      <c r="N169" s="15"/>
      <c r="O169" s="74"/>
      <c r="P169" s="49"/>
      <c r="Q169" s="78"/>
      <c r="R169" s="13"/>
      <c r="S169" s="13"/>
      <c r="T169" s="13"/>
      <c r="U169" s="124"/>
      <c r="V169" s="31"/>
      <c r="W169" s="5"/>
    </row>
    <row r="170" spans="1:23" ht="12.75">
      <c r="A170" s="5" t="s">
        <v>32</v>
      </c>
      <c r="B170" s="16">
        <v>159.9</v>
      </c>
      <c r="C170" s="83"/>
      <c r="D170" s="83"/>
      <c r="E170" s="83"/>
      <c r="F170" s="83">
        <v>360</v>
      </c>
      <c r="G170" s="83"/>
      <c r="H170" s="83">
        <f>369+61.5</f>
        <v>430.5</v>
      </c>
      <c r="I170" s="83"/>
      <c r="J170" s="83"/>
      <c r="K170" s="83"/>
      <c r="L170" s="83"/>
      <c r="M170" s="85"/>
      <c r="N170" s="18">
        <f>SUM(B170:M170)</f>
        <v>950.4</v>
      </c>
      <c r="O170" s="76">
        <f>N170/$N$197</f>
        <v>0.008769997675544598</v>
      </c>
      <c r="P170" s="52">
        <f>N170/10657.4/12</f>
        <v>0.007431456077467299</v>
      </c>
      <c r="Q170" s="78"/>
      <c r="R170" s="125">
        <f>($R$198/$N$197)*N170</f>
        <v>91.4770393543495</v>
      </c>
      <c r="S170" s="125">
        <f>$S$198/($N$197)*N170</f>
        <v>28.64675890728265</v>
      </c>
      <c r="T170" s="125">
        <f>$T$198/($N$197-$N$184-$N$186)*N170</f>
        <v>462.2577090800311</v>
      </c>
      <c r="U170" s="124">
        <f>N170-R170-S170-T170</f>
        <v>368.01849265833675</v>
      </c>
      <c r="V170" s="126">
        <f>U170/12</f>
        <v>30.668207721528063</v>
      </c>
      <c r="W170" s="5" t="s">
        <v>32</v>
      </c>
    </row>
    <row r="171" spans="1:23" ht="12.75">
      <c r="A171" s="5"/>
      <c r="B171" s="16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5"/>
      <c r="N171" s="18"/>
      <c r="O171" s="78"/>
      <c r="P171" s="52"/>
      <c r="Q171" s="78"/>
      <c r="R171" s="125"/>
      <c r="S171" s="125"/>
      <c r="T171" s="125"/>
      <c r="U171" s="124"/>
      <c r="V171" s="126"/>
      <c r="W171" s="19" t="s">
        <v>85</v>
      </c>
    </row>
    <row r="172" spans="1:23" ht="12.75">
      <c r="A172" s="5" t="s">
        <v>36</v>
      </c>
      <c r="B172" s="16"/>
      <c r="C172" s="83"/>
      <c r="D172" s="83"/>
      <c r="E172" s="83"/>
      <c r="F172" s="83"/>
      <c r="G172" s="83"/>
      <c r="H172" s="83"/>
      <c r="I172" s="83"/>
      <c r="J172" s="83"/>
      <c r="K172" s="83"/>
      <c r="L172" s="83">
        <v>154</v>
      </c>
      <c r="M172" s="85"/>
      <c r="N172" s="18">
        <f>SUM(B172:M172)</f>
        <v>154</v>
      </c>
      <c r="O172" s="76">
        <f>N172/$N$197</f>
        <v>0.0014210644381669486</v>
      </c>
      <c r="P172" s="52">
        <f>N172/10657.4/12</f>
        <v>0.0012041711236636828</v>
      </c>
      <c r="Q172" s="78"/>
      <c r="R172" s="125">
        <f>($R$198/$N$197)*N172</f>
        <v>14.822668413899226</v>
      </c>
      <c r="S172" s="125">
        <f>$S$198/($N$197)*N172</f>
        <v>4.641835934050429</v>
      </c>
      <c r="T172" s="125">
        <f>$T$198/($N$197-$N$184-$N$186)*N172</f>
        <v>74.90286952685689</v>
      </c>
      <c r="U172" s="124">
        <f>N172-R172-S172-T172</f>
        <v>59.632626125193454</v>
      </c>
      <c r="V172" s="126">
        <f>U172/12</f>
        <v>4.9693855104327875</v>
      </c>
      <c r="W172" s="5" t="s">
        <v>36</v>
      </c>
    </row>
    <row r="173" spans="1:23" ht="12.75">
      <c r="A173" s="5"/>
      <c r="B173" s="16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5"/>
      <c r="N173" s="18"/>
      <c r="O173" s="78"/>
      <c r="P173" s="52"/>
      <c r="Q173" s="78"/>
      <c r="R173" s="125"/>
      <c r="S173" s="125"/>
      <c r="T173" s="125"/>
      <c r="U173" s="124"/>
      <c r="V173" s="126"/>
      <c r="W173" s="5"/>
    </row>
    <row r="174" spans="1:23" ht="12.75">
      <c r="A174" s="5" t="s">
        <v>16</v>
      </c>
      <c r="B174" s="16">
        <v>123.25</v>
      </c>
      <c r="C174" s="83"/>
      <c r="D174" s="83">
        <v>163.32</v>
      </c>
      <c r="E174" s="83"/>
      <c r="F174" s="83">
        <v>174.8</v>
      </c>
      <c r="G174" s="83"/>
      <c r="H174" s="83">
        <v>203.77</v>
      </c>
      <c r="I174" s="83"/>
      <c r="J174" s="83">
        <v>139.46</v>
      </c>
      <c r="K174" s="83"/>
      <c r="L174" s="83">
        <v>169.05</v>
      </c>
      <c r="M174" s="85"/>
      <c r="N174" s="18">
        <f>SUM(B174:M174)</f>
        <v>973.6500000000001</v>
      </c>
      <c r="O174" s="76">
        <f>N174/$N$197</f>
        <v>0.00898454149494318</v>
      </c>
      <c r="P174" s="52">
        <f>N174/10657.4/12</f>
        <v>0.007613254639968474</v>
      </c>
      <c r="Q174" s="78"/>
      <c r="R174" s="125">
        <f>($R$198/$N$197)*N174</f>
        <v>93.71487728047391</v>
      </c>
      <c r="S174" s="125">
        <f>$S$198/($N$197)*N174</f>
        <v>29.34755556615715</v>
      </c>
      <c r="T174" s="125">
        <f>$T$198/($N$197-$N$184-$N$186)*N174</f>
        <v>473.5660968495079</v>
      </c>
      <c r="U174" s="124">
        <f>N174-R174-S174-T174</f>
        <v>377.0214703038611</v>
      </c>
      <c r="V174" s="126">
        <f>U174/12</f>
        <v>31.418455858655093</v>
      </c>
      <c r="W174" s="5" t="s">
        <v>16</v>
      </c>
    </row>
    <row r="175" spans="1:23" ht="12.75">
      <c r="A175" s="5"/>
      <c r="B175" s="16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5"/>
      <c r="N175" s="18"/>
      <c r="O175" s="78"/>
      <c r="P175" s="52"/>
      <c r="Q175" s="78"/>
      <c r="R175" s="125"/>
      <c r="S175" s="125"/>
      <c r="T175" s="125"/>
      <c r="U175" s="124"/>
      <c r="V175" s="126"/>
      <c r="W175" s="5"/>
    </row>
    <row r="176" spans="1:23" ht="12.75">
      <c r="A176" s="5" t="s">
        <v>86</v>
      </c>
      <c r="B176" s="16"/>
      <c r="C176" s="83"/>
      <c r="D176" s="83"/>
      <c r="E176" s="83"/>
      <c r="F176" s="83"/>
      <c r="G176" s="83"/>
      <c r="H176" s="83"/>
      <c r="I176" s="83">
        <v>1251.8</v>
      </c>
      <c r="J176" s="83"/>
      <c r="K176" s="83"/>
      <c r="L176" s="83"/>
      <c r="M176" s="85"/>
      <c r="N176" s="18">
        <f>SUM(B176:M176)</f>
        <v>1251.8</v>
      </c>
      <c r="O176" s="76">
        <f>N176/$N$197</f>
        <v>0.011551223790242768</v>
      </c>
      <c r="P176" s="52">
        <f>N176/10657.4/12</f>
        <v>0.009788190990923365</v>
      </c>
      <c r="Q176" s="78"/>
      <c r="R176" s="125">
        <f>($R$198/$N$197)*N176</f>
        <v>120.48711896440942</v>
      </c>
      <c r="S176" s="125">
        <f>$S$198/($N$197)*N176</f>
        <v>37.73149494963849</v>
      </c>
      <c r="T176" s="125">
        <f>$T$198/($N$197-$N$184-$N$186)*N176</f>
        <v>608.8533251540224</v>
      </c>
      <c r="U176" s="124">
        <f>N176-R176-S176-T176</f>
        <v>484.7280609319297</v>
      </c>
      <c r="V176" s="126">
        <f>U176/12</f>
        <v>40.39400507766081</v>
      </c>
      <c r="W176" s="5" t="s">
        <v>86</v>
      </c>
    </row>
    <row r="177" spans="1:23" ht="12.75">
      <c r="A177" s="5"/>
      <c r="B177" s="16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5"/>
      <c r="N177" s="18"/>
      <c r="O177" s="78"/>
      <c r="P177" s="52"/>
      <c r="Q177" s="78"/>
      <c r="R177" s="125"/>
      <c r="S177" s="125"/>
      <c r="T177" s="125"/>
      <c r="U177" s="124"/>
      <c r="V177" s="126"/>
      <c r="W177" s="5"/>
    </row>
    <row r="178" spans="1:23" ht="12.75">
      <c r="A178" s="5" t="s">
        <v>37</v>
      </c>
      <c r="B178" s="16">
        <f>15.92+496.28+434.22</f>
        <v>946.42</v>
      </c>
      <c r="C178" s="83">
        <f>356.2+66.42+78.2+59.77</f>
        <v>560.59</v>
      </c>
      <c r="D178" s="83">
        <f>163.28</f>
        <v>163.28</v>
      </c>
      <c r="E178" s="83">
        <f>79.9+99.99+106.17</f>
        <v>286.06</v>
      </c>
      <c r="F178" s="83">
        <f>55.51+121.77</f>
        <v>177.28</v>
      </c>
      <c r="G178" s="83">
        <f>179.42+549</f>
        <v>728.42</v>
      </c>
      <c r="H178" s="83">
        <f>12.99</f>
        <v>12.99</v>
      </c>
      <c r="I178" s="83">
        <v>210.15</v>
      </c>
      <c r="J178" s="83">
        <v>433.69</v>
      </c>
      <c r="K178" s="83">
        <v>90.36</v>
      </c>
      <c r="L178" s="83">
        <f>203.2+55.04</f>
        <v>258.24</v>
      </c>
      <c r="M178" s="85">
        <f>35.39+13.16+24.6</f>
        <v>73.15</v>
      </c>
      <c r="N178" s="18">
        <f>SUM(B178:M178)</f>
        <v>3940.6300000000006</v>
      </c>
      <c r="O178" s="76">
        <f>N178/$N$197</f>
        <v>0.03636291660372613</v>
      </c>
      <c r="P178" s="52">
        <f>N178/10657.4/12</f>
        <v>0.030812940617161166</v>
      </c>
      <c r="Q178" s="78"/>
      <c r="R178" s="125">
        <f>($R$198/$N$197)*N178</f>
        <v>379.289946960154</v>
      </c>
      <c r="S178" s="125">
        <f>$S$198/($N$197)*N178</f>
        <v>118.7776489402412</v>
      </c>
      <c r="T178" s="125">
        <f>$T$198/($N$197-$N$184-$N$186)*N178</f>
        <v>1916.6525632702476</v>
      </c>
      <c r="U178" s="124">
        <f>N178-R178-S178-T178</f>
        <v>1525.9098408293578</v>
      </c>
      <c r="V178" s="126">
        <f>U178/12</f>
        <v>127.15915340244648</v>
      </c>
      <c r="W178" s="5" t="s">
        <v>37</v>
      </c>
    </row>
    <row r="179" spans="1:23" ht="12.75">
      <c r="A179" s="5"/>
      <c r="B179" s="16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5"/>
      <c r="N179" s="18"/>
      <c r="O179" s="78"/>
      <c r="P179" s="52"/>
      <c r="Q179" s="78"/>
      <c r="R179" s="125"/>
      <c r="S179" s="125"/>
      <c r="T179" s="125"/>
      <c r="U179" s="124"/>
      <c r="V179" s="126"/>
      <c r="W179" s="5"/>
    </row>
    <row r="180" spans="1:23" ht="12.75">
      <c r="A180" s="5" t="s">
        <v>74</v>
      </c>
      <c r="B180" s="16">
        <f>147.6+55.04+207.99</f>
        <v>410.63</v>
      </c>
      <c r="C180" s="83">
        <f>148.23+55.04+254.81</f>
        <v>458.08</v>
      </c>
      <c r="D180" s="83">
        <f>149.22+55.04+232.59</f>
        <v>436.85</v>
      </c>
      <c r="E180" s="83">
        <f>163.87+55.04+232.59</f>
        <v>451.5</v>
      </c>
      <c r="F180" s="83">
        <f>226.44+55.04+154.38</f>
        <v>435.86</v>
      </c>
      <c r="G180" s="83">
        <f>148.92+55.04+201.84</f>
        <v>405.79999999999995</v>
      </c>
      <c r="H180" s="83">
        <f>147.71+55.04+203.07</f>
        <v>405.82</v>
      </c>
      <c r="I180" s="83">
        <v>409.27</v>
      </c>
      <c r="J180" s="83">
        <v>406.17</v>
      </c>
      <c r="K180" s="83">
        <f>147.6+44.94+205.21</f>
        <v>397.75</v>
      </c>
      <c r="L180" s="83">
        <f>148.94+44.94+201.84</f>
        <v>395.72</v>
      </c>
      <c r="M180" s="83">
        <f>147.76+44.94+203.52</f>
        <v>396.22</v>
      </c>
      <c r="N180" s="18">
        <f>SUM(B180:M180)</f>
        <v>5009.670000000001</v>
      </c>
      <c r="O180" s="76">
        <f>N180/$N$197</f>
        <v>0.04622768755812869</v>
      </c>
      <c r="P180" s="52">
        <f>N180/10657.4/12</f>
        <v>0.039172077617430155</v>
      </c>
      <c r="Q180" s="78"/>
      <c r="R180" s="125">
        <f>($R$198/$N$197)*N180</f>
        <v>482.18621605882174</v>
      </c>
      <c r="S180" s="125">
        <f>$S$198/($N$197)*N180</f>
        <v>151.00043002424948</v>
      </c>
      <c r="T180" s="125">
        <f>$T$198/($N$197-$N$184-$N$186)*N180</f>
        <v>2436.614664822138</v>
      </c>
      <c r="U180" s="124">
        <f>N180-R180-S180-T180</f>
        <v>1939.8686890947915</v>
      </c>
      <c r="V180" s="126">
        <f>U180/12</f>
        <v>161.65572409123263</v>
      </c>
      <c r="W180" s="5" t="s">
        <v>74</v>
      </c>
    </row>
    <row r="181" spans="1:23" ht="12.75">
      <c r="A181" s="5"/>
      <c r="B181" s="16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5"/>
      <c r="N181" s="18"/>
      <c r="O181" s="78"/>
      <c r="P181" s="52"/>
      <c r="Q181" s="78"/>
      <c r="R181" s="125"/>
      <c r="S181" s="125"/>
      <c r="T181" s="125"/>
      <c r="U181" s="124"/>
      <c r="V181" s="126"/>
      <c r="W181" s="5"/>
    </row>
    <row r="182" spans="1:23" ht="12.75">
      <c r="A182" s="5" t="s">
        <v>39</v>
      </c>
      <c r="B182" s="16">
        <f>24.9+30+72.2</f>
        <v>127.1</v>
      </c>
      <c r="C182" s="83">
        <f>40</f>
        <v>40</v>
      </c>
      <c r="D182" s="83">
        <f>30.8+50+19+40</f>
        <v>139.8</v>
      </c>
      <c r="E182" s="83">
        <f>9.5</f>
        <v>9.5</v>
      </c>
      <c r="F182" s="83">
        <f>3.8</f>
        <v>3.8</v>
      </c>
      <c r="G182" s="83">
        <f>9.5+80</f>
        <v>89.5</v>
      </c>
      <c r="H182" s="83">
        <f>21.15</f>
        <v>21.15</v>
      </c>
      <c r="I182" s="83">
        <v>9.5</v>
      </c>
      <c r="J182" s="83">
        <v>9.5</v>
      </c>
      <c r="K182" s="83"/>
      <c r="L182" s="83">
        <f>80</f>
        <v>80</v>
      </c>
      <c r="M182" s="85">
        <v>9.2</v>
      </c>
      <c r="N182" s="18">
        <f>SUM(B182:M182)</f>
        <v>539.05</v>
      </c>
      <c r="O182" s="76">
        <f>N182/$N$197</f>
        <v>0.004974186918142167</v>
      </c>
      <c r="P182" s="52">
        <f>N182/10657.4/12</f>
        <v>0.00421498989747343</v>
      </c>
      <c r="Q182" s="78"/>
      <c r="R182" s="125">
        <f>($R$198/$N$197)*N182</f>
        <v>51.884152003327124</v>
      </c>
      <c r="S182" s="125">
        <f>$S$198/($N$197)*N182</f>
        <v>16.24793285876548</v>
      </c>
      <c r="T182" s="125">
        <f>$T$198/($N$197-$N$184-$N$186)*N182</f>
        <v>262.1843624574818</v>
      </c>
      <c r="U182" s="124">
        <f>N182-R182-S182-T182</f>
        <v>208.73355268042553</v>
      </c>
      <c r="V182" s="126">
        <f>U182/12</f>
        <v>17.394462723368793</v>
      </c>
      <c r="W182" s="5" t="s">
        <v>39</v>
      </c>
    </row>
    <row r="183" spans="1:23" ht="12.75">
      <c r="A183" s="5"/>
      <c r="B183" s="16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5"/>
      <c r="N183" s="18"/>
      <c r="O183" s="78"/>
      <c r="P183" s="52"/>
      <c r="Q183" s="78"/>
      <c r="R183" s="125"/>
      <c r="S183" s="125"/>
      <c r="T183" s="125"/>
      <c r="U183" s="124"/>
      <c r="V183" s="126"/>
      <c r="W183" s="5"/>
    </row>
    <row r="184" spans="1:23" ht="12.75">
      <c r="A184" s="5" t="s">
        <v>40</v>
      </c>
      <c r="B184" s="16">
        <v>5740.8</v>
      </c>
      <c r="C184" s="83">
        <v>5740.8</v>
      </c>
      <c r="D184" s="83">
        <v>5677.67</v>
      </c>
      <c r="E184" s="83">
        <v>5740.8</v>
      </c>
      <c r="F184" s="83">
        <v>5740.8</v>
      </c>
      <c r="G184" s="83">
        <v>5677.67</v>
      </c>
      <c r="H184" s="83">
        <v>5740.8</v>
      </c>
      <c r="I184" s="83">
        <v>5740.8</v>
      </c>
      <c r="J184" s="83">
        <v>5740.8</v>
      </c>
      <c r="K184" s="83">
        <v>5646.11</v>
      </c>
      <c r="L184" s="83">
        <v>5740.8</v>
      </c>
      <c r="M184" s="83">
        <v>5740.8</v>
      </c>
      <c r="N184" s="18">
        <f>SUM(B184:M184)</f>
        <v>68668.65000000001</v>
      </c>
      <c r="O184" s="76">
        <f>N184/$N$197</f>
        <v>0.6336530943632004</v>
      </c>
      <c r="P184" s="52">
        <f>N184/10657.4/12</f>
        <v>0.5369402950062868</v>
      </c>
      <c r="Q184" s="78"/>
      <c r="R184" s="125">
        <f>($R$198/$N$197)*N184</f>
        <v>6609.432658312346</v>
      </c>
      <c r="S184" s="125">
        <f>$S$198/($N$197)*N184</f>
        <v>2069.796150082676</v>
      </c>
      <c r="T184" s="125">
        <v>0</v>
      </c>
      <c r="U184" s="124">
        <f>N184-R184-S184-T184</f>
        <v>59989.42119160498</v>
      </c>
      <c r="V184" s="126">
        <f>U184/12</f>
        <v>4999.118432633749</v>
      </c>
      <c r="W184" s="5" t="s">
        <v>40</v>
      </c>
    </row>
    <row r="185" spans="1:23" ht="12.75">
      <c r="A185" s="5"/>
      <c r="B185" s="16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5"/>
      <c r="N185" s="18"/>
      <c r="O185" s="78"/>
      <c r="P185" s="52"/>
      <c r="Q185" s="78"/>
      <c r="R185" s="125"/>
      <c r="S185" s="125"/>
      <c r="T185" s="125"/>
      <c r="U185" s="124"/>
      <c r="V185" s="126"/>
      <c r="W185" s="5"/>
    </row>
    <row r="186" spans="1:23" ht="12.75">
      <c r="A186" s="5" t="s">
        <v>41</v>
      </c>
      <c r="B186" s="16">
        <v>1011.01</v>
      </c>
      <c r="C186" s="83">
        <v>1190.64</v>
      </c>
      <c r="D186" s="83">
        <f>1190.64+750</f>
        <v>1940.64</v>
      </c>
      <c r="E186" s="83">
        <v>1136.92</v>
      </c>
      <c r="F186" s="83">
        <v>1190.64</v>
      </c>
      <c r="G186" s="83">
        <v>1190.64</v>
      </c>
      <c r="H186" s="83">
        <f>1007.51+1500</f>
        <v>2507.51</v>
      </c>
      <c r="I186" s="83">
        <v>1190.64</v>
      </c>
      <c r="J186" s="83">
        <v>1190.64</v>
      </c>
      <c r="K186" s="83">
        <v>1190.64</v>
      </c>
      <c r="L186" s="83">
        <v>921.33</v>
      </c>
      <c r="M186" s="83">
        <f>1190.64+750</f>
        <v>1940.64</v>
      </c>
      <c r="N186" s="18">
        <f>SUM(B186:M186)</f>
        <v>16601.89</v>
      </c>
      <c r="O186" s="76">
        <f>N186/$N$197</f>
        <v>0.15319711354129534</v>
      </c>
      <c r="P186" s="52">
        <f>N186/10657.4/12</f>
        <v>0.12981504244312245</v>
      </c>
      <c r="Q186" s="78"/>
      <c r="R186" s="125">
        <f>($R$198/$N$197)*N186</f>
        <v>1597.950068272918</v>
      </c>
      <c r="S186" s="125">
        <f>$S$198/($N$197)*N186</f>
        <v>500.4107115269642</v>
      </c>
      <c r="T186" s="125">
        <v>0</v>
      </c>
      <c r="U186" s="124">
        <f>N186-R186-S186-T186</f>
        <v>14503.529220200118</v>
      </c>
      <c r="V186" s="126">
        <f>U186/12</f>
        <v>1208.6274350166766</v>
      </c>
      <c r="W186" s="5" t="s">
        <v>41</v>
      </c>
    </row>
    <row r="187" spans="1:23" ht="12.75">
      <c r="A187" s="5"/>
      <c r="B187" s="16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5"/>
      <c r="N187" s="18"/>
      <c r="O187" s="78"/>
      <c r="P187" s="52"/>
      <c r="Q187" s="78"/>
      <c r="R187" s="125"/>
      <c r="S187" s="125"/>
      <c r="T187" s="125"/>
      <c r="U187" s="124"/>
      <c r="V187" s="126"/>
      <c r="W187" s="5"/>
    </row>
    <row r="188" spans="1:23" ht="12.75">
      <c r="A188" s="5" t="s">
        <v>42</v>
      </c>
      <c r="B188" s="16"/>
      <c r="C188" s="83"/>
      <c r="D188" s="83">
        <v>750</v>
      </c>
      <c r="E188" s="83"/>
      <c r="F188" s="83"/>
      <c r="G188" s="83">
        <v>750</v>
      </c>
      <c r="H188" s="83"/>
      <c r="I188" s="83"/>
      <c r="J188" s="83">
        <v>750</v>
      </c>
      <c r="K188" s="83">
        <v>133.73</v>
      </c>
      <c r="L188" s="83"/>
      <c r="M188" s="85">
        <v>750</v>
      </c>
      <c r="N188" s="18">
        <f>SUM(B188:M188)</f>
        <v>3133.73</v>
      </c>
      <c r="O188" s="76">
        <f>N188/$N$197</f>
        <v>0.028917092609200726</v>
      </c>
      <c r="P188" s="52">
        <f>N188/10657.4/12</f>
        <v>0.02450355308674411</v>
      </c>
      <c r="Q188" s="78"/>
      <c r="R188" s="125">
        <f>($R$198/$N$197)*N188</f>
        <v>301.6249395369378</v>
      </c>
      <c r="S188" s="125">
        <f>$S$198/($N$197)*N188</f>
        <v>94.45623715332371</v>
      </c>
      <c r="T188" s="125">
        <f>$T$198/($N$197-$N$184-$N$186)*N188</f>
        <v>1524.1907098856964</v>
      </c>
      <c r="U188" s="124">
        <f>N188-R188-S188-T188</f>
        <v>1213.458113424042</v>
      </c>
      <c r="V188" s="126">
        <f>U188/12</f>
        <v>101.12150945200351</v>
      </c>
      <c r="W188" s="5" t="s">
        <v>42</v>
      </c>
    </row>
    <row r="189" spans="1:23" ht="12.75">
      <c r="A189" s="5"/>
      <c r="B189" s="16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5"/>
      <c r="N189" s="18"/>
      <c r="O189" s="78"/>
      <c r="P189" s="52"/>
      <c r="Q189" s="78"/>
      <c r="R189" s="125"/>
      <c r="S189" s="125"/>
      <c r="T189" s="125"/>
      <c r="U189" s="124"/>
      <c r="V189" s="126"/>
      <c r="W189" s="5"/>
    </row>
    <row r="190" spans="1:23" ht="12.75">
      <c r="A190" s="5" t="s">
        <v>23</v>
      </c>
      <c r="B190" s="16">
        <v>894</v>
      </c>
      <c r="C190" s="83">
        <f>574+390</f>
        <v>964</v>
      </c>
      <c r="D190" s="83">
        <v>195</v>
      </c>
      <c r="E190" s="83">
        <f>469+195</f>
        <v>664</v>
      </c>
      <c r="F190" s="83">
        <v>195</v>
      </c>
      <c r="G190" s="83">
        <v>195</v>
      </c>
      <c r="H190" s="83">
        <f>469+195</f>
        <v>664</v>
      </c>
      <c r="I190" s="83">
        <f>570+195</f>
        <v>765</v>
      </c>
      <c r="J190" s="83">
        <v>195</v>
      </c>
      <c r="K190" s="83">
        <f>469+195</f>
        <v>664</v>
      </c>
      <c r="L190" s="83">
        <v>195</v>
      </c>
      <c r="M190" s="85">
        <v>195</v>
      </c>
      <c r="N190" s="18">
        <f>SUM(B190:M190)</f>
        <v>5785</v>
      </c>
      <c r="O190" s="76">
        <f>N190/$N$197</f>
        <v>0.053382193342829856</v>
      </c>
      <c r="P190" s="52">
        <f>N190/10657.4/12</f>
        <v>0.045234610067496135</v>
      </c>
      <c r="Q190" s="78"/>
      <c r="R190" s="125">
        <f>($R$198/$N$197)*N190</f>
        <v>556.8125764571885</v>
      </c>
      <c r="S190" s="125">
        <f>$S$198/($N$197)*N190</f>
        <v>174.3702654446866</v>
      </c>
      <c r="T190" s="125">
        <f>$T$198/($N$197-$N$184-$N$186)*N190</f>
        <v>2813.7214299536827</v>
      </c>
      <c r="U190" s="124">
        <f>N190-R190-S190-T190</f>
        <v>2240.0957281444416</v>
      </c>
      <c r="V190" s="126">
        <f>U190/12</f>
        <v>186.6746440120368</v>
      </c>
      <c r="W190" s="5" t="s">
        <v>23</v>
      </c>
    </row>
    <row r="191" spans="1:23" ht="12.75">
      <c r="A191" s="5"/>
      <c r="B191" s="16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5"/>
      <c r="N191" s="18"/>
      <c r="O191" s="76"/>
      <c r="P191" s="52"/>
      <c r="Q191" s="78"/>
      <c r="R191" s="125"/>
      <c r="S191" s="125"/>
      <c r="T191" s="125"/>
      <c r="U191" s="124"/>
      <c r="V191" s="126"/>
      <c r="W191" s="5"/>
    </row>
    <row r="192" spans="1:23" ht="12.75">
      <c r="A192" s="5" t="s">
        <v>140</v>
      </c>
      <c r="B192" s="16"/>
      <c r="C192" s="83"/>
      <c r="D192" s="83"/>
      <c r="E192" s="83"/>
      <c r="F192" s="83"/>
      <c r="G192" s="83"/>
      <c r="H192" s="83">
        <v>250</v>
      </c>
      <c r="I192" s="83"/>
      <c r="J192" s="83">
        <v>250</v>
      </c>
      <c r="K192" s="83"/>
      <c r="L192" s="83"/>
      <c r="M192" s="85"/>
      <c r="N192" s="18">
        <f>SUM(B192:M192)</f>
        <v>500</v>
      </c>
      <c r="O192" s="76">
        <f>N192/$N$197</f>
        <v>0.004613845578464119</v>
      </c>
      <c r="P192" s="52">
        <f>N192/10657.4/12</f>
        <v>0.003909646505401568</v>
      </c>
      <c r="Q192" s="78"/>
      <c r="R192" s="125">
        <f>($R$198/$N$197)*N192</f>
        <v>48.12554679837411</v>
      </c>
      <c r="S192" s="125">
        <f>$S$198/($N$197)*N192</f>
        <v>15.070895889774121</v>
      </c>
      <c r="T192" s="125">
        <f>$T$198/($N$197-$N$184-$N$186)*N192</f>
        <v>243.19113482745743</v>
      </c>
      <c r="U192" s="124">
        <f>N192-R192-S192-T192</f>
        <v>193.61242248439433</v>
      </c>
      <c r="V192" s="126">
        <f>U192/12</f>
        <v>16.134368540366193</v>
      </c>
      <c r="W192" s="5" t="s">
        <v>87</v>
      </c>
    </row>
    <row r="193" spans="1:23" ht="12.75">
      <c r="A193" s="5"/>
      <c r="B193" s="16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5"/>
      <c r="N193" s="18"/>
      <c r="O193" s="78"/>
      <c r="P193" s="52"/>
      <c r="Q193" s="78"/>
      <c r="R193" s="125"/>
      <c r="S193" s="125"/>
      <c r="T193" s="125"/>
      <c r="U193" s="124"/>
      <c r="V193" s="126"/>
      <c r="W193" s="5"/>
    </row>
    <row r="194" spans="1:23" ht="12.75">
      <c r="A194" s="5" t="s">
        <v>43</v>
      </c>
      <c r="B194" s="16">
        <v>72</v>
      </c>
      <c r="C194" s="83">
        <v>72</v>
      </c>
      <c r="D194" s="83">
        <v>72</v>
      </c>
      <c r="E194" s="83">
        <v>72</v>
      </c>
      <c r="F194" s="83">
        <v>72</v>
      </c>
      <c r="G194" s="83">
        <v>72</v>
      </c>
      <c r="H194" s="83">
        <v>72</v>
      </c>
      <c r="I194" s="83">
        <v>72</v>
      </c>
      <c r="J194" s="83">
        <v>72</v>
      </c>
      <c r="K194" s="83">
        <v>72</v>
      </c>
      <c r="L194" s="83">
        <v>72</v>
      </c>
      <c r="M194" s="85">
        <v>69</v>
      </c>
      <c r="N194" s="18">
        <f>SUM(B194:M194)</f>
        <v>861</v>
      </c>
      <c r="O194" s="76">
        <f>N194/$N$197</f>
        <v>0.007945042086115213</v>
      </c>
      <c r="P194" s="52">
        <f>N194/10657.4/12</f>
        <v>0.0067324112823015</v>
      </c>
      <c r="Q194" s="78"/>
      <c r="R194" s="125">
        <f>($R$198/$N$197)*N194</f>
        <v>82.87219158680021</v>
      </c>
      <c r="S194" s="125">
        <f>$S$198/($N$197)*N194</f>
        <v>25.952082722191037</v>
      </c>
      <c r="T194" s="125">
        <f>$T$198/($N$197-$N$184-$N$186)*N194</f>
        <v>418.77513417288174</v>
      </c>
      <c r="U194" s="124">
        <f>N194-R194-S194-T194</f>
        <v>333.40059151812704</v>
      </c>
      <c r="V194" s="126">
        <f>U194/12</f>
        <v>27.783382626510587</v>
      </c>
      <c r="W194" s="5" t="s">
        <v>43</v>
      </c>
    </row>
    <row r="195" spans="1:23" ht="12.75">
      <c r="A195" s="5"/>
      <c r="B195" s="13"/>
      <c r="C195" s="13"/>
      <c r="D195" s="86"/>
      <c r="E195" s="86"/>
      <c r="F195" s="86"/>
      <c r="G195" s="86"/>
      <c r="H195" s="86"/>
      <c r="I195" s="86"/>
      <c r="J195" s="86"/>
      <c r="K195" s="86"/>
      <c r="L195" s="86"/>
      <c r="M195" s="87"/>
      <c r="N195" s="15"/>
      <c r="O195" s="79"/>
      <c r="P195" s="54"/>
      <c r="Q195" s="78"/>
      <c r="R195" s="125"/>
      <c r="S195" s="125"/>
      <c r="T195" s="125"/>
      <c r="U195" s="77"/>
      <c r="V195" s="31"/>
      <c r="W195" s="5"/>
    </row>
    <row r="196" spans="1:23" ht="12.75">
      <c r="A196" s="20"/>
      <c r="B196" s="2"/>
      <c r="C196" s="2"/>
      <c r="D196" s="88"/>
      <c r="E196" s="88"/>
      <c r="F196" s="88"/>
      <c r="G196" s="88"/>
      <c r="H196" s="88"/>
      <c r="I196" s="88"/>
      <c r="J196" s="88"/>
      <c r="K196" s="88"/>
      <c r="L196" s="88"/>
      <c r="M196" s="89"/>
      <c r="N196" s="4"/>
      <c r="O196" s="74"/>
      <c r="P196" s="75"/>
      <c r="Q196" s="74"/>
      <c r="R196" s="127"/>
      <c r="S196" s="127"/>
      <c r="T196" s="127"/>
      <c r="U196" s="75"/>
      <c r="V196" s="28"/>
      <c r="W196" s="28"/>
    </row>
    <row r="197" spans="1:23" ht="12.75">
      <c r="A197" s="22"/>
      <c r="B197" s="16">
        <f>SUM(B170:B194)</f>
        <v>9485.11</v>
      </c>
      <c r="C197" s="16">
        <f>SUM(C170:C194)</f>
        <v>9026.11</v>
      </c>
      <c r="D197" s="83">
        <f>SUM(D170:D194)</f>
        <v>9538.56</v>
      </c>
      <c r="E197" s="83">
        <f>SUM(E170:E194)</f>
        <v>8360.78</v>
      </c>
      <c r="F197" s="83">
        <f>SUM(F170:F194)</f>
        <v>8350.18</v>
      </c>
      <c r="G197" s="83">
        <f>SUM(G170:G194)</f>
        <v>9109.03</v>
      </c>
      <c r="H197" s="83">
        <f>SUM(H170:H194)</f>
        <v>10308.54</v>
      </c>
      <c r="I197" s="83">
        <f>SUM(I170:I194)</f>
        <v>9649.16</v>
      </c>
      <c r="J197" s="83">
        <f>SUM(J170:J194)</f>
        <v>9187.259999999998</v>
      </c>
      <c r="K197" s="111">
        <f>SUM(K170:K194)</f>
        <v>8194.59</v>
      </c>
      <c r="L197" s="83">
        <f>SUM(L170:L194)</f>
        <v>7986.14</v>
      </c>
      <c r="M197" s="90">
        <f>SUM(M170:M194)</f>
        <v>9174.01</v>
      </c>
      <c r="N197" s="18">
        <f>SUM(N170:N194)</f>
        <v>108369.47</v>
      </c>
      <c r="O197" s="76"/>
      <c r="P197" s="77"/>
      <c r="Q197" s="78"/>
      <c r="R197" s="125">
        <f>SUM(R167:R194)</f>
        <v>10430.68</v>
      </c>
      <c r="S197" s="125">
        <f>SUM(S167:S194)</f>
        <v>3266.4500000000007</v>
      </c>
      <c r="T197" s="125">
        <f>SUM(T167:T194)</f>
        <v>11234.910000000003</v>
      </c>
      <c r="U197" s="52">
        <f>SUM(U167:U194)</f>
        <v>83437.43000000001</v>
      </c>
      <c r="V197" s="128">
        <f>U197/10657.4/12</f>
        <v>0.6524217132383759</v>
      </c>
      <c r="W197" s="31" t="s">
        <v>120</v>
      </c>
    </row>
    <row r="198" spans="1:23" ht="12.75">
      <c r="A198" s="24"/>
      <c r="B198" s="10"/>
      <c r="C198" s="10"/>
      <c r="D198" s="91"/>
      <c r="E198" s="91"/>
      <c r="F198" s="91"/>
      <c r="G198" s="91"/>
      <c r="H198" s="91"/>
      <c r="I198" s="91"/>
      <c r="J198" s="91"/>
      <c r="K198" s="91"/>
      <c r="L198" s="91"/>
      <c r="M198" s="92"/>
      <c r="N198" s="12"/>
      <c r="O198" s="79"/>
      <c r="P198" s="54"/>
      <c r="Q198" s="79"/>
      <c r="R198" s="129">
        <f>1497.04+1445.95+1500.02+1358.16+1359.11+1404.52+1593.81+272.07</f>
        <v>10430.679999999998</v>
      </c>
      <c r="S198" s="129">
        <f>245.49+239.49+291.99+233.86+234.32+240.16+265.42+257.82+572.94+217.41+223.68+243.87</f>
        <v>3266.45</v>
      </c>
      <c r="T198" s="129">
        <f>1157.9+902.47+1125.6+646.92+621.18+964.32+1553.72+1145.06+963.32+594.03+560.1+1000.29</f>
        <v>11234.91</v>
      </c>
      <c r="U198" s="54"/>
      <c r="V198" s="34"/>
      <c r="W198" s="34"/>
    </row>
    <row r="199" spans="1:14" ht="12.75">
      <c r="A199" s="1"/>
      <c r="B199" s="1"/>
      <c r="C199" s="1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1"/>
    </row>
    <row r="200" spans="1:14" ht="12.75">
      <c r="A200" s="1"/>
      <c r="B200" s="1"/>
      <c r="C200" s="1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1">
        <f>N197-N184-N186</f>
        <v>23098.929999999993</v>
      </c>
    </row>
    <row r="201" spans="1:13" ht="12.75">
      <c r="A201" t="s">
        <v>75</v>
      </c>
      <c r="B201">
        <v>6756</v>
      </c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1:13" ht="12.75">
      <c r="A202" t="s">
        <v>76</v>
      </c>
      <c r="B202">
        <v>3278.6</v>
      </c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1:13" ht="12.75">
      <c r="A203" t="s">
        <v>77</v>
      </c>
      <c r="B203">
        <v>622.8</v>
      </c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 ht="12.75">
      <c r="B204" s="82">
        <f>SUM(B201:B203)</f>
        <v>10657.4</v>
      </c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4:13" ht="12.75"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4:13" ht="12.75"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12:13" ht="12.75">
      <c r="L207" s="94"/>
      <c r="M207" s="94"/>
    </row>
    <row r="208" spans="5:13" ht="12.75">
      <c r="E208" s="94"/>
      <c r="F208" s="94"/>
      <c r="K208" s="94"/>
      <c r="L208" s="94"/>
      <c r="M208" s="94"/>
    </row>
    <row r="209" spans="5:13" ht="12.75">
      <c r="E209" s="94"/>
      <c r="F209" s="94"/>
      <c r="K209" s="94"/>
      <c r="L209" s="94"/>
      <c r="M209" s="94"/>
    </row>
    <row r="210" spans="5:13" ht="12.75">
      <c r="E210" s="94"/>
      <c r="K210" s="94"/>
      <c r="L210" s="94"/>
      <c r="M210" s="94"/>
    </row>
    <row r="211" spans="5:13" ht="12.75">
      <c r="E211" s="94"/>
      <c r="K211" s="94"/>
      <c r="L211" s="94"/>
      <c r="M211" s="94"/>
    </row>
    <row r="212" spans="5:13" ht="12.75">
      <c r="E212" s="94"/>
      <c r="K212" s="94"/>
      <c r="L212" s="94"/>
      <c r="M212" s="94"/>
    </row>
    <row r="213" spans="5:13" ht="12.75">
      <c r="E213" s="94"/>
      <c r="K213" s="94"/>
      <c r="L213" s="94"/>
      <c r="M213" s="94"/>
    </row>
    <row r="214" spans="5:13" ht="12.75">
      <c r="E214" s="94"/>
      <c r="K214" s="94"/>
      <c r="L214" s="94"/>
      <c r="M214" s="94"/>
    </row>
    <row r="215" spans="5:13" ht="12.75">
      <c r="E215" s="94"/>
      <c r="K215" s="94"/>
      <c r="L215" s="94"/>
      <c r="M215" s="94"/>
    </row>
    <row r="216" spans="12:13" ht="12.75">
      <c r="L216" s="94"/>
      <c r="M216" s="94"/>
    </row>
    <row r="217" spans="12:13" ht="12.75">
      <c r="L217" s="94"/>
      <c r="M217" s="94"/>
    </row>
    <row r="218" spans="12:13" ht="12.75">
      <c r="L218" s="94"/>
      <c r="M218" s="94"/>
    </row>
    <row r="219" spans="12:13" ht="12.75">
      <c r="L219" s="94"/>
      <c r="M219" s="94"/>
    </row>
    <row r="220" spans="12:13" ht="12.75">
      <c r="L220" s="94"/>
      <c r="M220" s="94"/>
    </row>
    <row r="221" spans="12:13" ht="12.75">
      <c r="L221" s="94"/>
      <c r="M221" s="94"/>
    </row>
    <row r="222" spans="12:13" ht="12.75">
      <c r="L222" s="94"/>
      <c r="M222" s="94"/>
    </row>
    <row r="223" spans="12:13" ht="12.75">
      <c r="L223" s="94"/>
      <c r="M223" s="94"/>
    </row>
    <row r="224" spans="12:13" ht="12.75">
      <c r="L224" s="94"/>
      <c r="M224" s="94"/>
    </row>
    <row r="225" spans="12:13" ht="12.75">
      <c r="L225" s="94"/>
      <c r="M225" s="94"/>
    </row>
    <row r="226" spans="12:13" ht="12.75">
      <c r="L226" s="94"/>
      <c r="M226" s="94"/>
    </row>
    <row r="227" spans="12:13" ht="12.75">
      <c r="L227" s="94"/>
      <c r="M227" s="94"/>
    </row>
    <row r="228" spans="12:13" ht="12.75">
      <c r="L228" s="94"/>
      <c r="M228" s="94"/>
    </row>
    <row r="229" spans="12:13" ht="12.75">
      <c r="L229" s="94"/>
      <c r="M229" s="94"/>
    </row>
    <row r="230" spans="12:13" ht="12.75">
      <c r="L230" s="94"/>
      <c r="M230" s="94"/>
    </row>
    <row r="231" spans="12:13" ht="12.75">
      <c r="L231" s="94"/>
      <c r="M231" s="94"/>
    </row>
    <row r="232" spans="12:13" ht="12.75">
      <c r="L232" s="94"/>
      <c r="M232" s="94"/>
    </row>
    <row r="233" spans="12:13" ht="12.75">
      <c r="L233" s="94"/>
      <c r="M233" s="94"/>
    </row>
    <row r="234" spans="12:13" ht="12.75">
      <c r="L234" s="94"/>
      <c r="M234" s="94"/>
    </row>
    <row r="235" spans="12:13" ht="12.75">
      <c r="L235" s="94"/>
      <c r="M235" s="94"/>
    </row>
    <row r="236" spans="12:13" ht="12.75">
      <c r="L236" s="94"/>
      <c r="M236" s="94"/>
    </row>
    <row r="237" spans="12:13" ht="12.75">
      <c r="L237" s="94"/>
      <c r="M237" s="94"/>
    </row>
    <row r="238" spans="12:13" ht="12.75">
      <c r="L238" s="94"/>
      <c r="M238" s="94"/>
    </row>
    <row r="239" spans="12:13" ht="12.75">
      <c r="L239" s="94"/>
      <c r="M239" s="94"/>
    </row>
    <row r="240" spans="12:13" ht="12.75">
      <c r="L240" s="94"/>
      <c r="M240" s="94"/>
    </row>
    <row r="241" spans="12:13" ht="12.75">
      <c r="L241" s="94"/>
      <c r="M241" s="94"/>
    </row>
    <row r="242" spans="12:13" ht="12.75">
      <c r="L242" s="94"/>
      <c r="M242" s="94"/>
    </row>
    <row r="243" ht="12.75">
      <c r="L243" s="94"/>
    </row>
    <row r="244" ht="12.75">
      <c r="L244" s="94"/>
    </row>
    <row r="245" ht="12.75">
      <c r="L245" s="94"/>
    </row>
    <row r="246" ht="12.75">
      <c r="L246" s="94"/>
    </row>
    <row r="247" ht="12.75">
      <c r="L247" s="94"/>
    </row>
    <row r="248" ht="12.75">
      <c r="L248" s="9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3"/>
  <sheetViews>
    <sheetView zoomScale="81" zoomScaleNormal="81" workbookViewId="0" topLeftCell="A259">
      <selection activeCell="L256" sqref="L256"/>
    </sheetView>
  </sheetViews>
  <sheetFormatPr defaultColWidth="12.57421875" defaultRowHeight="12.75"/>
  <cols>
    <col min="1" max="1" width="27.28125" style="0" customWidth="1"/>
    <col min="2" max="16384" width="11.57421875" style="0" customWidth="1"/>
  </cols>
  <sheetData>
    <row r="1" ht="12.75">
      <c r="G1" s="94"/>
    </row>
    <row r="2" spans="1:13" ht="12.75">
      <c r="A2" s="130">
        <v>2014</v>
      </c>
      <c r="B2" s="108" t="s">
        <v>121</v>
      </c>
      <c r="C2" s="108"/>
      <c r="D2" s="94"/>
      <c r="E2" s="94"/>
      <c r="F2" s="94"/>
      <c r="G2" s="94"/>
      <c r="H2" s="94"/>
      <c r="I2" s="94"/>
      <c r="L2" s="94"/>
      <c r="M2" s="96" t="s">
        <v>122</v>
      </c>
    </row>
    <row r="3" spans="1:13" ht="12.75">
      <c r="A3" s="130"/>
      <c r="B3" s="108"/>
      <c r="C3" s="108"/>
      <c r="D3" s="94"/>
      <c r="E3" s="94"/>
      <c r="F3" s="94"/>
      <c r="G3" s="94"/>
      <c r="H3" s="94"/>
      <c r="I3" s="94"/>
      <c r="L3" s="94"/>
      <c r="M3" s="97" t="s">
        <v>24</v>
      </c>
    </row>
    <row r="4" spans="1:17" ht="12.75">
      <c r="A4" s="2"/>
      <c r="B4" s="2"/>
      <c r="C4" s="2"/>
      <c r="D4" s="88"/>
      <c r="E4" s="88"/>
      <c r="F4" s="88"/>
      <c r="G4" s="88"/>
      <c r="H4" s="88"/>
      <c r="I4" s="88"/>
      <c r="J4" s="2"/>
      <c r="K4" s="2"/>
      <c r="L4" s="88"/>
      <c r="M4" s="98"/>
      <c r="N4" s="4"/>
      <c r="O4" s="28"/>
      <c r="P4" s="29" t="s">
        <v>123</v>
      </c>
      <c r="Q4" s="30"/>
    </row>
    <row r="5" spans="1:17" ht="12.75">
      <c r="A5" s="5" t="s">
        <v>1</v>
      </c>
      <c r="B5" s="6" t="s">
        <v>2</v>
      </c>
      <c r="C5" s="6" t="s">
        <v>3</v>
      </c>
      <c r="D5" s="99" t="s">
        <v>4</v>
      </c>
      <c r="E5" s="99" t="s">
        <v>5</v>
      </c>
      <c r="F5" s="99" t="s">
        <v>6</v>
      </c>
      <c r="G5" s="99" t="s">
        <v>7</v>
      </c>
      <c r="H5" s="99" t="s">
        <v>8</v>
      </c>
      <c r="I5" s="99" t="s">
        <v>9</v>
      </c>
      <c r="J5" s="6" t="s">
        <v>10</v>
      </c>
      <c r="K5" s="99" t="s">
        <v>11</v>
      </c>
      <c r="L5" s="99" t="s">
        <v>12</v>
      </c>
      <c r="M5" s="100" t="s">
        <v>13</v>
      </c>
      <c r="N5" s="8" t="s">
        <v>14</v>
      </c>
      <c r="O5" s="31" t="s">
        <v>47</v>
      </c>
      <c r="P5" s="32"/>
      <c r="Q5" s="33" t="s">
        <v>47</v>
      </c>
    </row>
    <row r="6" spans="1:17" ht="12.75">
      <c r="A6" s="9"/>
      <c r="B6" s="10"/>
      <c r="C6" s="10"/>
      <c r="D6" s="91"/>
      <c r="E6" s="91"/>
      <c r="F6" s="91"/>
      <c r="G6" s="91"/>
      <c r="H6" s="91"/>
      <c r="I6" s="91"/>
      <c r="J6" s="91"/>
      <c r="K6" s="91"/>
      <c r="L6" s="91"/>
      <c r="M6" s="101"/>
      <c r="N6" s="12"/>
      <c r="O6" s="34"/>
      <c r="P6" s="32" t="s">
        <v>48</v>
      </c>
      <c r="Q6" s="131" t="s">
        <v>49</v>
      </c>
    </row>
    <row r="7" spans="1:17" ht="12.75">
      <c r="A7" s="5"/>
      <c r="B7" s="13"/>
      <c r="C7" s="13"/>
      <c r="D7" s="86"/>
      <c r="E7" s="86"/>
      <c r="F7" s="86"/>
      <c r="G7" s="86"/>
      <c r="H7" s="86"/>
      <c r="I7" s="86"/>
      <c r="J7" s="86"/>
      <c r="K7" s="86"/>
      <c r="L7" s="86"/>
      <c r="M7" s="87"/>
      <c r="N7" s="15"/>
      <c r="O7" s="31"/>
      <c r="P7" s="36"/>
      <c r="Q7" s="132"/>
    </row>
    <row r="8" spans="1:17" ht="12.75">
      <c r="A8" s="5" t="s">
        <v>15</v>
      </c>
      <c r="B8" s="16">
        <v>1900</v>
      </c>
      <c r="C8" s="83">
        <v>1900</v>
      </c>
      <c r="D8" s="83">
        <v>1900</v>
      </c>
      <c r="E8" s="83">
        <v>1900</v>
      </c>
      <c r="F8" s="135">
        <v>1900</v>
      </c>
      <c r="G8" s="135">
        <v>1900</v>
      </c>
      <c r="H8" s="135">
        <v>1900</v>
      </c>
      <c r="I8" s="135">
        <v>1900</v>
      </c>
      <c r="J8" s="135">
        <v>1900</v>
      </c>
      <c r="K8" s="135">
        <v>1900</v>
      </c>
      <c r="L8" s="135">
        <v>1900</v>
      </c>
      <c r="M8" s="135">
        <v>1900</v>
      </c>
      <c r="N8" s="18">
        <f>SUM(B8:M8)</f>
        <v>22800</v>
      </c>
      <c r="O8" s="31">
        <f>N8/6756/12</f>
        <v>0.2812314979277679</v>
      </c>
      <c r="P8" s="38">
        <v>24500</v>
      </c>
      <c r="Q8" s="45">
        <f>P8/6756/12</f>
        <v>0.3022005131241366</v>
      </c>
    </row>
    <row r="9" spans="1:17" ht="12.75">
      <c r="A9" s="19"/>
      <c r="B9" s="16"/>
      <c r="C9" s="83"/>
      <c r="D9" s="83"/>
      <c r="E9" s="83"/>
      <c r="F9" s="135"/>
      <c r="G9" s="135"/>
      <c r="H9" s="135"/>
      <c r="I9" s="135"/>
      <c r="J9" s="135"/>
      <c r="K9" s="136"/>
      <c r="L9" s="135"/>
      <c r="M9" s="137"/>
      <c r="N9" s="18"/>
      <c r="O9" s="31"/>
      <c r="P9" s="38"/>
      <c r="Q9" s="45"/>
    </row>
    <row r="10" spans="1:17" ht="12.75">
      <c r="A10" s="5" t="s">
        <v>16</v>
      </c>
      <c r="B10" s="16">
        <v>830.73</v>
      </c>
      <c r="C10" s="83">
        <v>-10.8</v>
      </c>
      <c r="D10" s="83">
        <v>753.65</v>
      </c>
      <c r="E10" s="83"/>
      <c r="F10" s="135">
        <f>206.91+99.47+79.4+207.38+222.58</f>
        <v>815.74</v>
      </c>
      <c r="G10" s="135"/>
      <c r="H10" s="135">
        <v>595.02</v>
      </c>
      <c r="I10" s="135"/>
      <c r="J10" s="135">
        <v>641.58</v>
      </c>
      <c r="K10" s="136"/>
      <c r="L10" s="135">
        <f>662.95-362.95+432.35-230+70.54+133.65+156.21</f>
        <v>862.7500000000001</v>
      </c>
      <c r="M10" s="137"/>
      <c r="N10" s="18">
        <f>SUM(B10:M10)</f>
        <v>4488.67</v>
      </c>
      <c r="O10" s="31">
        <f>N10/6756/12</f>
        <v>0.0553664643773436</v>
      </c>
      <c r="P10" s="38">
        <v>5200</v>
      </c>
      <c r="Q10" s="45">
        <f>P10/6756/12</f>
        <v>0.06414051707124531</v>
      </c>
    </row>
    <row r="11" spans="1:17" ht="12.75">
      <c r="A11" s="5"/>
      <c r="B11" s="16"/>
      <c r="C11" s="83"/>
      <c r="D11" s="83"/>
      <c r="E11" s="83"/>
      <c r="F11" s="135"/>
      <c r="G11" s="135"/>
      <c r="H11" s="135"/>
      <c r="I11" s="135"/>
      <c r="J11" s="135"/>
      <c r="K11" s="136"/>
      <c r="L11" s="135"/>
      <c r="M11" s="137"/>
      <c r="N11" s="18"/>
      <c r="O11" s="31"/>
      <c r="P11" s="38"/>
      <c r="Q11" s="45"/>
    </row>
    <row r="12" spans="1:17" ht="12.75">
      <c r="A12" s="5" t="s">
        <v>100</v>
      </c>
      <c r="B12" s="16"/>
      <c r="C12" s="83"/>
      <c r="D12" s="83"/>
      <c r="E12" s="83"/>
      <c r="F12" s="135"/>
      <c r="G12" s="135"/>
      <c r="H12" s="135"/>
      <c r="I12" s="135">
        <v>2781.7</v>
      </c>
      <c r="J12" s="135"/>
      <c r="K12" s="136"/>
      <c r="L12" s="135"/>
      <c r="M12" s="137">
        <v>4610.4</v>
      </c>
      <c r="N12" s="18">
        <f>SUM(B12:M12)</f>
        <v>7392.099999999999</v>
      </c>
      <c r="O12" s="31">
        <f>N12/6756/12</f>
        <v>0.09117944543122163</v>
      </c>
      <c r="P12" s="38">
        <v>3000</v>
      </c>
      <c r="Q12" s="45">
        <f>P12/6756/12</f>
        <v>0.03700414446417999</v>
      </c>
    </row>
    <row r="13" spans="1:17" ht="12.75">
      <c r="A13" s="5"/>
      <c r="B13" s="16"/>
      <c r="C13" s="83"/>
      <c r="D13" s="83"/>
      <c r="E13" s="83"/>
      <c r="F13" s="135"/>
      <c r="G13" s="135"/>
      <c r="H13" s="135"/>
      <c r="I13" s="135"/>
      <c r="J13" s="135"/>
      <c r="K13" s="136"/>
      <c r="L13" s="135"/>
      <c r="M13" s="137"/>
      <c r="N13" s="18"/>
      <c r="O13" s="31"/>
      <c r="P13" s="38"/>
      <c r="Q13" s="45"/>
    </row>
    <row r="14" spans="1:17" ht="12.75">
      <c r="A14" s="5" t="s">
        <v>18</v>
      </c>
      <c r="B14" s="16">
        <v>290</v>
      </c>
      <c r="C14" s="83">
        <v>740</v>
      </c>
      <c r="D14" s="83">
        <v>1200</v>
      </c>
      <c r="E14" s="83">
        <v>740</v>
      </c>
      <c r="F14" s="135">
        <v>740</v>
      </c>
      <c r="G14" s="135">
        <v>740</v>
      </c>
      <c r="H14" s="135">
        <v>740</v>
      </c>
      <c r="I14" s="135">
        <v>740</v>
      </c>
      <c r="J14" s="135">
        <v>740</v>
      </c>
      <c r="K14" s="135">
        <v>740</v>
      </c>
      <c r="L14" s="135">
        <v>740</v>
      </c>
      <c r="M14" s="135">
        <v>740</v>
      </c>
      <c r="N14" s="18">
        <f>SUM(B14:M14)</f>
        <v>8890</v>
      </c>
      <c r="O14" s="31">
        <f>N14/6756/12</f>
        <v>0.1096556147621867</v>
      </c>
      <c r="P14" s="38">
        <v>9000</v>
      </c>
      <c r="Q14" s="45">
        <f>P14/6756/12</f>
        <v>0.11101243339253997</v>
      </c>
    </row>
    <row r="15" spans="1:17" ht="12.75">
      <c r="A15" s="5"/>
      <c r="B15" s="16"/>
      <c r="C15" s="83"/>
      <c r="D15" s="83"/>
      <c r="E15" s="83"/>
      <c r="F15" s="135"/>
      <c r="G15" s="135"/>
      <c r="H15" s="135"/>
      <c r="I15" s="135"/>
      <c r="J15" s="135"/>
      <c r="K15" s="136"/>
      <c r="L15" s="135"/>
      <c r="M15" s="137"/>
      <c r="N15" s="18"/>
      <c r="O15" s="31"/>
      <c r="P15" s="38"/>
      <c r="Q15" s="45"/>
    </row>
    <row r="16" spans="1:17" ht="12.75">
      <c r="A16" s="5" t="s">
        <v>19</v>
      </c>
      <c r="B16" s="16"/>
      <c r="C16" s="83"/>
      <c r="D16" s="83"/>
      <c r="E16" s="83">
        <v>1000</v>
      </c>
      <c r="F16" s="135"/>
      <c r="G16" s="135">
        <f>1330</f>
        <v>1330</v>
      </c>
      <c r="H16" s="135"/>
      <c r="I16" s="135"/>
      <c r="J16" s="135"/>
      <c r="K16" s="136"/>
      <c r="L16" s="135"/>
      <c r="M16" s="137">
        <v>1749.6</v>
      </c>
      <c r="N16" s="18">
        <f>SUM(B16:M16)</f>
        <v>4079.6</v>
      </c>
      <c r="O16" s="31">
        <f>N16/6756/12</f>
        <v>0.050320702585356224</v>
      </c>
      <c r="P16" s="38">
        <v>4200</v>
      </c>
      <c r="Q16" s="45">
        <f>P16/6756/12</f>
        <v>0.051805802249851984</v>
      </c>
    </row>
    <row r="17" spans="1:17" ht="12.75">
      <c r="A17" s="5"/>
      <c r="B17" s="16"/>
      <c r="C17" s="83"/>
      <c r="D17" s="83"/>
      <c r="E17" s="83"/>
      <c r="F17" s="135"/>
      <c r="G17" s="135"/>
      <c r="H17" s="135"/>
      <c r="I17" s="135"/>
      <c r="J17" s="135"/>
      <c r="K17" s="136"/>
      <c r="L17" s="135"/>
      <c r="M17" s="137"/>
      <c r="N17" s="18"/>
      <c r="O17" s="31"/>
      <c r="P17" s="38"/>
      <c r="Q17" s="45"/>
    </row>
    <row r="18" spans="1:17" ht="12.75">
      <c r="A18" s="5" t="s">
        <v>20</v>
      </c>
      <c r="B18" s="16">
        <v>211.07</v>
      </c>
      <c r="C18" s="83">
        <v>64.46</v>
      </c>
      <c r="D18" s="83">
        <v>60.01</v>
      </c>
      <c r="E18" s="83">
        <f>300.07+61.39</f>
        <v>361.46</v>
      </c>
      <c r="F18" s="135"/>
      <c r="G18" s="135">
        <f>20.14+179.93+80+156.67</f>
        <v>436.74</v>
      </c>
      <c r="H18" s="135">
        <v>31.98</v>
      </c>
      <c r="I18" s="135"/>
      <c r="J18" s="135">
        <v>141.1</v>
      </c>
      <c r="K18" s="136"/>
      <c r="L18" s="135">
        <f>154.11+70.11</f>
        <v>224.22000000000003</v>
      </c>
      <c r="M18" s="137">
        <f>43.76+243+6.8+86.4+47.6+9</f>
        <v>436.56000000000006</v>
      </c>
      <c r="N18" s="18">
        <f>SUM(B18:M18)</f>
        <v>1967.6000000000001</v>
      </c>
      <c r="O18" s="31">
        <f>N18/6756/12</f>
        <v>0.024269784882573517</v>
      </c>
      <c r="P18" s="38">
        <v>2100</v>
      </c>
      <c r="Q18" s="45">
        <f>P18/6756/12</f>
        <v>0.025902901124925992</v>
      </c>
    </row>
    <row r="19" spans="1:17" ht="12.75">
      <c r="A19" s="5"/>
      <c r="B19" s="16"/>
      <c r="C19" s="83"/>
      <c r="D19" s="83"/>
      <c r="E19" s="83"/>
      <c r="F19" s="135"/>
      <c r="G19" s="135"/>
      <c r="H19" s="135"/>
      <c r="I19" s="135"/>
      <c r="J19" s="135"/>
      <c r="K19" s="136"/>
      <c r="L19" s="135"/>
      <c r="M19" s="137"/>
      <c r="N19" s="18"/>
      <c r="O19" s="31"/>
      <c r="P19" s="38"/>
      <c r="Q19" s="45"/>
    </row>
    <row r="20" spans="1:17" ht="12.75">
      <c r="A20" s="5" t="s">
        <v>101</v>
      </c>
      <c r="B20" s="16"/>
      <c r="C20" s="83"/>
      <c r="D20" s="83">
        <v>100</v>
      </c>
      <c r="E20" s="83"/>
      <c r="F20" s="135"/>
      <c r="G20" s="135"/>
      <c r="H20" s="135"/>
      <c r="I20" s="135"/>
      <c r="J20" s="135">
        <v>1520</v>
      </c>
      <c r="K20" s="136"/>
      <c r="L20" s="135"/>
      <c r="M20" s="137"/>
      <c r="N20" s="18">
        <f>SUM(B20:M20)</f>
        <v>1620</v>
      </c>
      <c r="O20" s="31">
        <f>N20/6756/12</f>
        <v>0.019982238010657193</v>
      </c>
      <c r="P20" s="38">
        <v>1500</v>
      </c>
      <c r="Q20" s="45">
        <f>P20/6756/12</f>
        <v>0.018502072232089994</v>
      </c>
    </row>
    <row r="21" spans="1:17" ht="12.75">
      <c r="A21" s="5"/>
      <c r="B21" s="16"/>
      <c r="C21" s="83"/>
      <c r="D21" s="83"/>
      <c r="E21" s="83"/>
      <c r="F21" s="135"/>
      <c r="G21" s="135"/>
      <c r="H21" s="135"/>
      <c r="I21" s="135"/>
      <c r="J21" s="135"/>
      <c r="K21" s="136"/>
      <c r="L21" s="135"/>
      <c r="M21" s="137"/>
      <c r="N21" s="18"/>
      <c r="O21" s="31"/>
      <c r="P21" s="38"/>
      <c r="Q21" s="45"/>
    </row>
    <row r="22" spans="1:17" ht="12.75">
      <c r="A22" s="5" t="s">
        <v>124</v>
      </c>
      <c r="B22" s="16"/>
      <c r="C22" s="83"/>
      <c r="D22" s="83"/>
      <c r="E22" s="83"/>
      <c r="F22" s="135"/>
      <c r="G22" s="135"/>
      <c r="H22" s="135"/>
      <c r="I22" s="135">
        <v>200</v>
      </c>
      <c r="J22" s="135">
        <v>250</v>
      </c>
      <c r="K22" s="136">
        <v>100</v>
      </c>
      <c r="L22" s="135"/>
      <c r="M22" s="137"/>
      <c r="N22" s="18">
        <f>SUM(B22:M22)</f>
        <v>550</v>
      </c>
      <c r="O22" s="31">
        <f>N22/6756/12</f>
        <v>0.006784093151766331</v>
      </c>
      <c r="P22" s="38">
        <v>600</v>
      </c>
      <c r="Q22" s="45">
        <f>P22/6756/12</f>
        <v>0.007400828892835998</v>
      </c>
    </row>
    <row r="23" spans="1:17" ht="12.75">
      <c r="A23" s="5"/>
      <c r="B23" s="16"/>
      <c r="C23" s="83"/>
      <c r="D23" s="83"/>
      <c r="E23" s="83"/>
      <c r="F23" s="135"/>
      <c r="G23" s="135"/>
      <c r="H23" s="135"/>
      <c r="I23" s="135"/>
      <c r="J23" s="135"/>
      <c r="K23" s="136"/>
      <c r="L23" s="135"/>
      <c r="M23" s="137"/>
      <c r="N23" s="18"/>
      <c r="O23" s="31"/>
      <c r="P23" s="38"/>
      <c r="Q23" s="45"/>
    </row>
    <row r="24" spans="1:17" ht="12.75">
      <c r="A24" s="5" t="s">
        <v>23</v>
      </c>
      <c r="B24" s="16"/>
      <c r="C24" s="83">
        <v>792</v>
      </c>
      <c r="D24" s="83"/>
      <c r="E24" s="83"/>
      <c r="F24" s="135"/>
      <c r="G24" s="135"/>
      <c r="H24" s="135"/>
      <c r="I24" s="135">
        <v>775</v>
      </c>
      <c r="J24" s="135"/>
      <c r="K24" s="136"/>
      <c r="L24" s="135"/>
      <c r="M24" s="137"/>
      <c r="N24" s="18">
        <f>SUM(B24:M24)</f>
        <v>1567</v>
      </c>
      <c r="O24" s="31">
        <f>N24/6756/12</f>
        <v>0.019328498125123345</v>
      </c>
      <c r="P24" s="38">
        <v>1600</v>
      </c>
      <c r="Q24" s="45">
        <f>P24/6756/12</f>
        <v>0.019735543714229326</v>
      </c>
    </row>
    <row r="25" spans="1:17" ht="12.75">
      <c r="A25" s="5"/>
      <c r="B25" s="16"/>
      <c r="C25" s="83"/>
      <c r="D25" s="83"/>
      <c r="E25" s="83"/>
      <c r="F25" s="135"/>
      <c r="G25" s="135"/>
      <c r="H25" s="135"/>
      <c r="I25" s="135"/>
      <c r="J25" s="135"/>
      <c r="K25" s="136"/>
      <c r="L25" s="135"/>
      <c r="M25" s="137"/>
      <c r="N25" s="18"/>
      <c r="O25" s="31"/>
      <c r="P25" s="38"/>
      <c r="Q25" s="45"/>
    </row>
    <row r="26" spans="1:17" ht="12.75">
      <c r="A26" s="5" t="s">
        <v>51</v>
      </c>
      <c r="B26" s="16"/>
      <c r="C26" s="83"/>
      <c r="D26" s="83"/>
      <c r="E26" s="83"/>
      <c r="F26" s="135"/>
      <c r="G26" s="135"/>
      <c r="H26" s="135"/>
      <c r="I26" s="135"/>
      <c r="J26" s="135"/>
      <c r="K26" s="136"/>
      <c r="L26" s="135"/>
      <c r="M26" s="137"/>
      <c r="N26" s="18">
        <f>SUM(B26:M26)</f>
        <v>0</v>
      </c>
      <c r="O26" s="31">
        <f>N26/6756/12</f>
        <v>0</v>
      </c>
      <c r="P26" s="38">
        <v>0</v>
      </c>
      <c r="Q26" s="45">
        <f>P26/6756/12</f>
        <v>0</v>
      </c>
    </row>
    <row r="27" spans="1:17" ht="12.75">
      <c r="A27" s="5"/>
      <c r="B27" s="16"/>
      <c r="C27" s="83"/>
      <c r="D27" s="83"/>
      <c r="E27" s="83"/>
      <c r="F27" s="135"/>
      <c r="G27" s="135"/>
      <c r="H27" s="135"/>
      <c r="I27" s="135"/>
      <c r="J27" s="135"/>
      <c r="K27" s="136"/>
      <c r="L27" s="135"/>
      <c r="M27" s="137"/>
      <c r="N27" s="18"/>
      <c r="O27" s="31"/>
      <c r="P27" s="38"/>
      <c r="Q27" s="45"/>
    </row>
    <row r="28" spans="1:17" ht="12.75">
      <c r="A28" s="5" t="s">
        <v>25</v>
      </c>
      <c r="B28" s="16">
        <v>3870.76</v>
      </c>
      <c r="C28" s="83">
        <v>3556.98</v>
      </c>
      <c r="D28" s="83">
        <v>3757.83</v>
      </c>
      <c r="E28" s="83">
        <v>3880.79</v>
      </c>
      <c r="F28" s="135">
        <v>3889.5</v>
      </c>
      <c r="G28" s="135">
        <v>3979.2</v>
      </c>
      <c r="H28" s="135">
        <v>4371.29</v>
      </c>
      <c r="I28" s="135">
        <f>4260.86+966.67</f>
        <v>5227.53</v>
      </c>
      <c r="J28" s="135">
        <f>3966.22+883.95</f>
        <v>4850.17</v>
      </c>
      <c r="K28" s="136">
        <f>3621.51+1058.86</f>
        <v>4680.37</v>
      </c>
      <c r="L28" s="135">
        <f>3716.74+849.02</f>
        <v>4565.76</v>
      </c>
      <c r="M28" s="137">
        <v>4772.35</v>
      </c>
      <c r="N28" s="18">
        <f>SUM(B28:M28)</f>
        <v>51402.530000000006</v>
      </c>
      <c r="O28" s="107">
        <f>N28/6756/12</f>
        <v>0.6340355486481154</v>
      </c>
      <c r="P28" s="38">
        <v>54500</v>
      </c>
      <c r="Q28" s="45">
        <f>P28/6756/12</f>
        <v>0.6722419577659364</v>
      </c>
    </row>
    <row r="29" spans="1:17" ht="12.75">
      <c r="A29" s="5"/>
      <c r="B29" s="16"/>
      <c r="C29" s="83"/>
      <c r="D29" s="83"/>
      <c r="E29" s="83"/>
      <c r="F29" s="135"/>
      <c r="G29" s="135"/>
      <c r="H29" s="135"/>
      <c r="I29" s="135"/>
      <c r="J29" s="135"/>
      <c r="K29" s="136"/>
      <c r="L29" s="135"/>
      <c r="M29" s="137"/>
      <c r="N29" s="18"/>
      <c r="O29" s="31"/>
      <c r="P29" s="38"/>
      <c r="Q29" s="45"/>
    </row>
    <row r="30" spans="1:17" ht="12.75">
      <c r="A30" s="5" t="s">
        <v>52</v>
      </c>
      <c r="B30" s="16">
        <v>684.66</v>
      </c>
      <c r="C30" s="83">
        <v>597.34</v>
      </c>
      <c r="D30" s="83">
        <v>281.85</v>
      </c>
      <c r="E30" s="83">
        <v>1046.11</v>
      </c>
      <c r="F30" s="135">
        <v>596.49</v>
      </c>
      <c r="G30" s="135">
        <v>1260.65</v>
      </c>
      <c r="H30" s="135">
        <v>924.08</v>
      </c>
      <c r="I30" s="135">
        <v>630.84</v>
      </c>
      <c r="J30" s="135">
        <v>278.39</v>
      </c>
      <c r="K30" s="136">
        <v>247.31</v>
      </c>
      <c r="L30" s="135">
        <v>867.47</v>
      </c>
      <c r="M30" s="137">
        <v>244.62</v>
      </c>
      <c r="N30" s="18">
        <f>SUM(B30:M30)</f>
        <v>7659.810000000001</v>
      </c>
      <c r="O30" s="41">
        <f>N30/6756/12</f>
        <v>0.09448157193605684</v>
      </c>
      <c r="P30" s="38">
        <v>7000</v>
      </c>
      <c r="Q30" s="45">
        <f>P30/6756/12</f>
        <v>0.0863430037497533</v>
      </c>
    </row>
    <row r="31" spans="1:17" ht="12.75">
      <c r="A31" s="5"/>
      <c r="B31" s="16"/>
      <c r="C31" s="83"/>
      <c r="D31" s="83"/>
      <c r="E31" s="83"/>
      <c r="F31" s="135"/>
      <c r="G31" s="135"/>
      <c r="H31" s="135"/>
      <c r="I31" s="135"/>
      <c r="J31" s="135"/>
      <c r="K31" s="136"/>
      <c r="L31" s="135"/>
      <c r="M31" s="137"/>
      <c r="N31" s="18"/>
      <c r="O31" s="31"/>
      <c r="P31" s="38"/>
      <c r="Q31" s="45"/>
    </row>
    <row r="32" spans="1:17" ht="12.75">
      <c r="A32" s="5" t="s">
        <v>53</v>
      </c>
      <c r="B32" s="16">
        <f>28.45-100.42</f>
        <v>-71.97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5"/>
      <c r="N32" s="18">
        <f>SUM(B32:M32)</f>
        <v>-71.97</v>
      </c>
      <c r="O32" s="31">
        <f>N32/6756/12</f>
        <v>-0.0008877294256956779</v>
      </c>
      <c r="P32" s="38"/>
      <c r="Q32" s="45">
        <f>P32/6756/12</f>
        <v>0</v>
      </c>
    </row>
    <row r="33" spans="1:17" ht="12.75">
      <c r="A33" s="5"/>
      <c r="B33" s="1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15"/>
      <c r="O33" s="31"/>
      <c r="P33" s="42"/>
      <c r="Q33" s="62"/>
    </row>
    <row r="34" spans="1:17" ht="12.75">
      <c r="A34" s="20"/>
      <c r="B34" s="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4"/>
      <c r="O34" s="28"/>
      <c r="P34" s="44"/>
      <c r="Q34" s="45"/>
    </row>
    <row r="35" spans="1:17" ht="12.75">
      <c r="A35" s="22"/>
      <c r="B35" s="16">
        <f>SUM(B8:B32)</f>
        <v>7715.25</v>
      </c>
      <c r="C35" s="83">
        <f>SUM(C8:C32)</f>
        <v>7639.9800000000005</v>
      </c>
      <c r="D35" s="83">
        <f>SUM(D8:D32)</f>
        <v>8053.34</v>
      </c>
      <c r="E35" s="83">
        <f>SUM(E8:E32)</f>
        <v>8928.36</v>
      </c>
      <c r="F35" s="83">
        <f>SUM(F8:F32)</f>
        <v>7941.73</v>
      </c>
      <c r="G35" s="83">
        <f>SUM(G8:G32)</f>
        <v>9646.59</v>
      </c>
      <c r="H35" s="83">
        <f>SUM(H8:H32)</f>
        <v>8562.369999999999</v>
      </c>
      <c r="I35" s="83">
        <f>SUM(I8:I32)</f>
        <v>12255.07</v>
      </c>
      <c r="J35" s="83">
        <f>SUM(J8:J32)</f>
        <v>10321.24</v>
      </c>
      <c r="K35" s="83">
        <f>SUM(K8:K32)</f>
        <v>7667.68</v>
      </c>
      <c r="L35" s="83">
        <f>SUM(L8:L32)</f>
        <v>9160.2</v>
      </c>
      <c r="M35" s="90">
        <f>SUM(M8:M32)</f>
        <v>14453.53</v>
      </c>
      <c r="N35" s="18">
        <f>SUM(N8:N32)</f>
        <v>112345.34</v>
      </c>
      <c r="O35" s="18">
        <f>SUM(O8:O32)</f>
        <v>1.3857477304124728</v>
      </c>
      <c r="P35" s="44">
        <f>SUM(P8:P32)</f>
        <v>113200</v>
      </c>
      <c r="Q35" s="45">
        <f>SUM(Q8:Q32)</f>
        <v>1.3962897177817246</v>
      </c>
    </row>
    <row r="36" spans="1:17" ht="12.75">
      <c r="A36" s="24"/>
      <c r="B36" s="1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12"/>
      <c r="O36" s="34"/>
      <c r="P36" s="46"/>
      <c r="Q36" s="43"/>
    </row>
    <row r="37" spans="1:17" ht="12.75">
      <c r="A37" s="47" t="s">
        <v>53</v>
      </c>
      <c r="B37" s="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48"/>
      <c r="O37" s="49"/>
      <c r="P37" s="50"/>
      <c r="Q37" s="51"/>
    </row>
    <row r="38" spans="1:17" ht="12.75">
      <c r="A38" s="5" t="s">
        <v>54</v>
      </c>
      <c r="B38" s="16">
        <f>(B35-B26-B32)/6756*1133</f>
        <v>1305.938463587922</v>
      </c>
      <c r="C38" s="83">
        <f>(C35-C26-C32)/6756*1133</f>
        <v>1281.2459058614565</v>
      </c>
      <c r="D38" s="83">
        <f>(D35-D26-D32)/6756*1133</f>
        <v>1350.56752812315</v>
      </c>
      <c r="E38" s="83">
        <f>(E35-E26-E32)/6756*1133</f>
        <v>1497.3108170515097</v>
      </c>
      <c r="F38" s="16">
        <f>(F35-F26-F32)/6756*1133</f>
        <v>1331.850220544701</v>
      </c>
      <c r="G38" s="16">
        <f>(G35-G26-G32)/6756*1133</f>
        <v>1617.759986678508</v>
      </c>
      <c r="H38" s="16">
        <f>(H35-H26-H32)/6756*1133</f>
        <v>1435.9332756068677</v>
      </c>
      <c r="I38" s="16">
        <f>(I35-I26-I32)/6756*1133</f>
        <v>2055.2093413262282</v>
      </c>
      <c r="J38" s="16">
        <f>(J35-J26-J32)/6756*1133</f>
        <v>1730.900669034932</v>
      </c>
      <c r="K38" s="16">
        <f>(K35-K26-K32)/6756*1133</f>
        <v>1285.8912729425697</v>
      </c>
      <c r="L38" s="16">
        <f>(L35-L26-L32)/6756*1133</f>
        <v>1536.191030195382</v>
      </c>
      <c r="M38" s="16">
        <f>(M35-M26-M32)/6756*1133</f>
        <v>2423.8972010065127</v>
      </c>
      <c r="N38" s="16">
        <f>SUM(B38:M38)</f>
        <v>18852.69571195974</v>
      </c>
      <c r="O38" s="52">
        <f>O35</f>
        <v>1.3857477304124728</v>
      </c>
      <c r="P38" s="53">
        <f>P35</f>
        <v>113200</v>
      </c>
      <c r="Q38" s="52">
        <f>Q35</f>
        <v>1.3962897177817246</v>
      </c>
    </row>
    <row r="39" spans="1:17" ht="12.75">
      <c r="A39" s="9" t="s">
        <v>80</v>
      </c>
      <c r="B39" s="1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12"/>
      <c r="O39" s="54"/>
      <c r="P39" s="55"/>
      <c r="Q39" s="56"/>
    </row>
    <row r="40" spans="3:13" ht="12.7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7" ht="12.75">
      <c r="A41" s="133" t="s">
        <v>125</v>
      </c>
      <c r="B41" s="94">
        <f>+1077+56</f>
        <v>1133</v>
      </c>
      <c r="C41" s="94">
        <f>+1077+56</f>
        <v>1133</v>
      </c>
      <c r="D41" s="94">
        <f>+1077+56</f>
        <v>1133</v>
      </c>
      <c r="E41" s="94">
        <f>+1077+56</f>
        <v>1133</v>
      </c>
      <c r="F41" s="94">
        <f>+1077+56</f>
        <v>1133</v>
      </c>
      <c r="G41" s="94">
        <f>+1077+56</f>
        <v>1133</v>
      </c>
      <c r="H41" s="94">
        <f>+1077+56</f>
        <v>1133</v>
      </c>
      <c r="I41" s="94">
        <f>+1077+56</f>
        <v>1133</v>
      </c>
      <c r="J41" s="94">
        <f>+1077+56</f>
        <v>1133</v>
      </c>
      <c r="K41" s="94">
        <f>+1077+56</f>
        <v>1133</v>
      </c>
      <c r="L41" s="94">
        <f>+1077+56</f>
        <v>1133</v>
      </c>
      <c r="M41" s="94">
        <f>+1077+56</f>
        <v>1133</v>
      </c>
      <c r="P41" s="58"/>
      <c r="Q41" s="59"/>
    </row>
    <row r="42" spans="3:13" ht="12.7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3:13" ht="12.7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t="s">
        <v>56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t="s">
        <v>57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3:13" ht="12.7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3:13" ht="12.7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3:13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3:13" ht="12.7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13" ht="12.7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3:13" ht="12.75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3:13" ht="12.75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3:13" ht="12.75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3:13" ht="12.7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3:13" ht="12.7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130">
        <v>2014</v>
      </c>
      <c r="B56" s="108" t="s">
        <v>126</v>
      </c>
      <c r="C56" s="134"/>
      <c r="D56" s="94"/>
      <c r="E56" s="94"/>
      <c r="F56" s="94"/>
      <c r="G56" s="94"/>
      <c r="H56" s="94"/>
      <c r="I56" s="94"/>
      <c r="J56" s="94"/>
      <c r="K56" s="94"/>
      <c r="L56" s="94"/>
      <c r="M56" s="96" t="s">
        <v>127</v>
      </c>
    </row>
    <row r="57" spans="1:13" ht="12.75">
      <c r="A57" s="130"/>
      <c r="B57" s="108"/>
      <c r="C57" s="134"/>
      <c r="D57" s="94"/>
      <c r="E57" s="94"/>
      <c r="F57" s="94"/>
      <c r="G57" s="94"/>
      <c r="H57" s="94"/>
      <c r="I57" s="94"/>
      <c r="J57" s="94"/>
      <c r="K57" s="94"/>
      <c r="L57" s="94"/>
      <c r="M57" s="97"/>
    </row>
    <row r="58" spans="1:17" ht="12.75">
      <c r="A58" s="2"/>
      <c r="B58" s="2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98"/>
      <c r="N58" s="4"/>
      <c r="O58" s="28"/>
      <c r="P58" s="29" t="s">
        <v>123</v>
      </c>
      <c r="Q58" s="30"/>
    </row>
    <row r="59" spans="1:17" ht="12.75">
      <c r="A59" s="5" t="s">
        <v>1</v>
      </c>
      <c r="B59" s="6" t="s">
        <v>2</v>
      </c>
      <c r="C59" s="99" t="s">
        <v>3</v>
      </c>
      <c r="D59" s="99" t="s">
        <v>4</v>
      </c>
      <c r="E59" s="99" t="s">
        <v>5</v>
      </c>
      <c r="F59" s="99" t="s">
        <v>6</v>
      </c>
      <c r="G59" s="99" t="s">
        <v>7</v>
      </c>
      <c r="H59" s="99" t="s">
        <v>8</v>
      </c>
      <c r="I59" s="99" t="s">
        <v>9</v>
      </c>
      <c r="J59" s="99" t="s">
        <v>10</v>
      </c>
      <c r="K59" s="99" t="s">
        <v>11</v>
      </c>
      <c r="L59" s="99" t="s">
        <v>12</v>
      </c>
      <c r="M59" s="100" t="s">
        <v>13</v>
      </c>
      <c r="N59" s="8" t="s">
        <v>14</v>
      </c>
      <c r="O59" s="31" t="s">
        <v>47</v>
      </c>
      <c r="P59" s="32"/>
      <c r="Q59" s="33" t="s">
        <v>47</v>
      </c>
    </row>
    <row r="60" spans="1:17" ht="12.75">
      <c r="A60" s="9"/>
      <c r="B60" s="1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101"/>
      <c r="N60" s="12"/>
      <c r="O60" s="34"/>
      <c r="P60" s="32" t="s">
        <v>48</v>
      </c>
      <c r="Q60" s="35" t="s">
        <v>49</v>
      </c>
    </row>
    <row r="61" spans="1:17" ht="12.75">
      <c r="A61" s="5"/>
      <c r="B61" s="13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15"/>
      <c r="O61" s="31"/>
      <c r="P61" s="36"/>
      <c r="Q61" s="37"/>
    </row>
    <row r="62" spans="1:17" ht="12.75">
      <c r="A62" s="5" t="s">
        <v>15</v>
      </c>
      <c r="B62" s="16">
        <v>1200</v>
      </c>
      <c r="C62" s="83">
        <v>1200</v>
      </c>
      <c r="D62" s="83">
        <v>1200</v>
      </c>
      <c r="E62" s="83">
        <v>1250</v>
      </c>
      <c r="F62" s="135">
        <v>1250</v>
      </c>
      <c r="G62" s="135">
        <v>1250</v>
      </c>
      <c r="H62" s="135">
        <v>1250</v>
      </c>
      <c r="I62" s="135">
        <v>1250</v>
      </c>
      <c r="J62" s="135">
        <v>1250</v>
      </c>
      <c r="K62" s="135">
        <v>1250</v>
      </c>
      <c r="L62" s="135">
        <v>1250</v>
      </c>
      <c r="M62" s="135">
        <v>1250</v>
      </c>
      <c r="N62" s="18">
        <f>SUM(B62:M62)</f>
        <v>14850</v>
      </c>
      <c r="O62" s="41">
        <f>N62/3276.8/12</f>
        <v>0.377655029296875</v>
      </c>
      <c r="P62" s="38">
        <v>15600</v>
      </c>
      <c r="Q62" s="45">
        <f>P62/3276.8/12</f>
        <v>0.396728515625</v>
      </c>
    </row>
    <row r="63" spans="1:17" ht="12.75">
      <c r="A63" s="19"/>
      <c r="B63" s="16"/>
      <c r="C63" s="83"/>
      <c r="D63" s="83"/>
      <c r="E63" s="83"/>
      <c r="F63" s="135"/>
      <c r="G63" s="135"/>
      <c r="H63" s="135"/>
      <c r="I63" s="135"/>
      <c r="J63" s="135"/>
      <c r="K63" s="135"/>
      <c r="L63" s="135"/>
      <c r="M63" s="137"/>
      <c r="N63" s="18"/>
      <c r="O63" s="41"/>
      <c r="P63" s="38"/>
      <c r="Q63" s="45"/>
    </row>
    <row r="64" spans="1:17" ht="12.75">
      <c r="A64" s="5" t="s">
        <v>103</v>
      </c>
      <c r="B64" s="16">
        <v>857.61</v>
      </c>
      <c r="C64" s="83"/>
      <c r="D64" s="83">
        <v>648.09</v>
      </c>
      <c r="E64" s="83"/>
      <c r="F64" s="135">
        <f>263.69+58.06+85.12+66.75+201.74</f>
        <v>675.36</v>
      </c>
      <c r="G64" s="135"/>
      <c r="H64" s="135">
        <v>594.95</v>
      </c>
      <c r="I64" s="135"/>
      <c r="J64" s="135">
        <v>204.94</v>
      </c>
      <c r="K64" s="135"/>
      <c r="L64" s="135">
        <f>207.59+62.46+85.5+82.69+276.85-117.43</f>
        <v>597.6600000000001</v>
      </c>
      <c r="M64" s="137"/>
      <c r="N64" s="18">
        <f>SUM(B64:M64)</f>
        <v>3578.61</v>
      </c>
      <c r="O64" s="41">
        <f>N64/3276.8/12</f>
        <v>0.09100875854492187</v>
      </c>
      <c r="P64" s="38">
        <v>3700</v>
      </c>
      <c r="Q64" s="45">
        <f>P64/3276.8/12</f>
        <v>0.09409586588541667</v>
      </c>
    </row>
    <row r="65" spans="1:17" ht="12.75">
      <c r="A65" s="5"/>
      <c r="B65" s="16"/>
      <c r="C65" s="83"/>
      <c r="D65" s="83"/>
      <c r="E65" s="83"/>
      <c r="F65" s="135"/>
      <c r="G65" s="135"/>
      <c r="H65" s="135"/>
      <c r="I65" s="135"/>
      <c r="J65" s="135"/>
      <c r="K65" s="135"/>
      <c r="L65" s="135"/>
      <c r="M65" s="137"/>
      <c r="N65" s="18"/>
      <c r="O65" s="41"/>
      <c r="P65" s="38"/>
      <c r="Q65" s="45"/>
    </row>
    <row r="66" spans="1:17" ht="12.75">
      <c r="A66" s="5" t="s">
        <v>18</v>
      </c>
      <c r="B66" s="16">
        <v>175</v>
      </c>
      <c r="C66" s="83">
        <v>540</v>
      </c>
      <c r="D66" s="83">
        <v>890</v>
      </c>
      <c r="E66" s="83">
        <v>200</v>
      </c>
      <c r="F66" s="135">
        <f>200+350</f>
        <v>550</v>
      </c>
      <c r="G66" s="135">
        <f>220+350</f>
        <v>570</v>
      </c>
      <c r="H66" s="135">
        <f>190+350</f>
        <v>540</v>
      </c>
      <c r="I66" s="135">
        <v>540</v>
      </c>
      <c r="J66" s="135">
        <v>540</v>
      </c>
      <c r="K66" s="135">
        <f>190+350</f>
        <v>540</v>
      </c>
      <c r="L66" s="135">
        <f>190</f>
        <v>190</v>
      </c>
      <c r="M66" s="137">
        <f>352+350+196</f>
        <v>898</v>
      </c>
      <c r="N66" s="18">
        <f>SUM(B66:M66)</f>
        <v>6173</v>
      </c>
      <c r="O66" s="41">
        <f>N66/3276.8/12</f>
        <v>0.15698750813802084</v>
      </c>
      <c r="P66" s="38">
        <v>6400</v>
      </c>
      <c r="Q66" s="45">
        <f>P66/3276.8/12</f>
        <v>0.16276041666666666</v>
      </c>
    </row>
    <row r="67" spans="1:17" ht="12.75">
      <c r="A67" s="5"/>
      <c r="B67" s="16"/>
      <c r="C67" s="83"/>
      <c r="D67" s="83"/>
      <c r="E67" s="83"/>
      <c r="F67" s="135"/>
      <c r="G67" s="135"/>
      <c r="H67" s="135"/>
      <c r="I67" s="135"/>
      <c r="J67" s="135"/>
      <c r="K67" s="135"/>
      <c r="L67" s="135"/>
      <c r="M67" s="137"/>
      <c r="N67" s="18"/>
      <c r="O67" s="41"/>
      <c r="P67" s="38"/>
      <c r="Q67" s="45"/>
    </row>
    <row r="68" spans="1:17" ht="12.75">
      <c r="A68" s="5" t="s">
        <v>101</v>
      </c>
      <c r="B68" s="16"/>
      <c r="C68" s="83"/>
      <c r="D68" s="83"/>
      <c r="E68" s="83"/>
      <c r="F68" s="135"/>
      <c r="G68" s="135"/>
      <c r="H68" s="135"/>
      <c r="I68" s="135"/>
      <c r="J68" s="135">
        <v>900</v>
      </c>
      <c r="K68" s="135"/>
      <c r="L68" s="135"/>
      <c r="M68" s="137"/>
      <c r="N68" s="18">
        <f>SUM(B68:M68)</f>
        <v>900</v>
      </c>
      <c r="O68" s="41">
        <f>N68/3276.8/12</f>
        <v>0.02288818359375</v>
      </c>
      <c r="P68" s="38">
        <v>1400</v>
      </c>
      <c r="Q68" s="45">
        <f>P68/3276.8/12</f>
        <v>0.035603841145833336</v>
      </c>
    </row>
    <row r="69" spans="1:17" ht="12.75">
      <c r="A69" s="5"/>
      <c r="B69" s="16"/>
      <c r="C69" s="83"/>
      <c r="D69" s="83"/>
      <c r="E69" s="83"/>
      <c r="F69" s="135"/>
      <c r="G69" s="135"/>
      <c r="H69" s="135"/>
      <c r="I69" s="135"/>
      <c r="J69" s="135"/>
      <c r="K69" s="135"/>
      <c r="L69" s="135"/>
      <c r="M69" s="137"/>
      <c r="N69" s="18"/>
      <c r="O69" s="41"/>
      <c r="P69" s="38"/>
      <c r="Q69" s="45"/>
    </row>
    <row r="70" spans="1:17" ht="12.75">
      <c r="A70" s="5" t="s">
        <v>19</v>
      </c>
      <c r="B70" s="16"/>
      <c r="C70" s="83"/>
      <c r="D70" s="83"/>
      <c r="E70" s="83">
        <v>600</v>
      </c>
      <c r="F70" s="135"/>
      <c r="G70" s="135"/>
      <c r="H70" s="135"/>
      <c r="I70" s="135"/>
      <c r="J70" s="135"/>
      <c r="K70" s="135"/>
      <c r="L70" s="135"/>
      <c r="M70" s="137" t="s">
        <v>24</v>
      </c>
      <c r="N70" s="18">
        <f>SUM(B70:M70)</f>
        <v>600</v>
      </c>
      <c r="O70" s="41">
        <f>N70/3276.8/12</f>
        <v>0.0152587890625</v>
      </c>
      <c r="P70" s="38">
        <v>1700</v>
      </c>
      <c r="Q70" s="45">
        <f>P70/3276.8/12</f>
        <v>0.043233235677083336</v>
      </c>
    </row>
    <row r="71" spans="1:17" ht="12.75">
      <c r="A71" s="5"/>
      <c r="B71" s="16"/>
      <c r="C71" s="83"/>
      <c r="D71" s="83"/>
      <c r="E71" s="83"/>
      <c r="F71" s="135"/>
      <c r="G71" s="135"/>
      <c r="H71" s="135"/>
      <c r="I71" s="135"/>
      <c r="J71" s="135"/>
      <c r="K71" s="135"/>
      <c r="L71" s="135"/>
      <c r="M71" s="137"/>
      <c r="N71" s="18"/>
      <c r="O71" s="41"/>
      <c r="P71" s="38"/>
      <c r="Q71" s="45"/>
    </row>
    <row r="72" spans="1:17" ht="12.75">
      <c r="A72" s="5" t="s">
        <v>20</v>
      </c>
      <c r="B72" s="16">
        <v>0</v>
      </c>
      <c r="C72" s="83">
        <v>64.46</v>
      </c>
      <c r="D72" s="83">
        <v>0</v>
      </c>
      <c r="E72" s="83"/>
      <c r="F72" s="135"/>
      <c r="G72" s="135">
        <f>134.95+20+75+45+98.4</f>
        <v>373.35</v>
      </c>
      <c r="H72" s="135">
        <f>83.98+62.73</f>
        <v>146.71</v>
      </c>
      <c r="I72" s="135"/>
      <c r="J72" s="135">
        <v>43.98</v>
      </c>
      <c r="K72" s="135">
        <v>43.2</v>
      </c>
      <c r="L72" s="135">
        <f>63.96+57.55+153.6+28.23+35.83</f>
        <v>339.17</v>
      </c>
      <c r="M72" s="137">
        <f>22+63.03+28.76+143.4+182+140.4</f>
        <v>579.59</v>
      </c>
      <c r="N72" s="18">
        <f>SUM(B72:M72)</f>
        <v>1590.46</v>
      </c>
      <c r="O72" s="41">
        <f>N72/3276.8/12</f>
        <v>0.04044748942057292</v>
      </c>
      <c r="P72" s="38">
        <v>1200</v>
      </c>
      <c r="Q72" s="45">
        <f>P72/3276.8/12</f>
        <v>0.030517578125</v>
      </c>
    </row>
    <row r="73" spans="1:17" ht="12.75">
      <c r="A73" s="5"/>
      <c r="B73" s="16"/>
      <c r="C73" s="83"/>
      <c r="D73" s="83"/>
      <c r="E73" s="83"/>
      <c r="F73" s="135"/>
      <c r="G73" s="135"/>
      <c r="H73" s="135"/>
      <c r="I73" s="135"/>
      <c r="J73" s="135"/>
      <c r="K73" s="135"/>
      <c r="L73" s="135"/>
      <c r="M73" s="137"/>
      <c r="N73" s="18"/>
      <c r="O73" s="41"/>
      <c r="P73" s="38"/>
      <c r="Q73" s="45"/>
    </row>
    <row r="74" spans="1:17" ht="12.75">
      <c r="A74" s="5" t="s">
        <v>23</v>
      </c>
      <c r="B74" s="16">
        <f>365+365</f>
        <v>730</v>
      </c>
      <c r="C74" s="83">
        <v>370</v>
      </c>
      <c r="D74" s="83"/>
      <c r="E74" s="83"/>
      <c r="F74" s="135"/>
      <c r="G74" s="135"/>
      <c r="H74" s="135">
        <f>349+349</f>
        <v>698</v>
      </c>
      <c r="I74" s="135">
        <v>349</v>
      </c>
      <c r="J74" s="135"/>
      <c r="K74" s="135"/>
      <c r="L74" s="135"/>
      <c r="M74" s="137"/>
      <c r="N74" s="18">
        <f>SUM(B74:M74)</f>
        <v>2147</v>
      </c>
      <c r="O74" s="41">
        <f>N74/3276.8/12</f>
        <v>0.054601033528645836</v>
      </c>
      <c r="P74" s="38">
        <v>2100</v>
      </c>
      <c r="Q74" s="45">
        <f>P74/3276.8/12</f>
        <v>0.05340576171875</v>
      </c>
    </row>
    <row r="75" spans="1:17" ht="12.75">
      <c r="A75" s="5"/>
      <c r="B75" s="16"/>
      <c r="C75" s="83"/>
      <c r="D75" s="83"/>
      <c r="E75" s="83"/>
      <c r="F75" s="135"/>
      <c r="G75" s="135"/>
      <c r="H75" s="135"/>
      <c r="I75" s="135"/>
      <c r="J75" s="135"/>
      <c r="K75" s="135"/>
      <c r="L75" s="135"/>
      <c r="M75" s="137"/>
      <c r="N75" s="18"/>
      <c r="O75" s="41"/>
      <c r="P75" s="38"/>
      <c r="Q75" s="45"/>
    </row>
    <row r="76" spans="1:17" ht="12.75">
      <c r="A76" s="5" t="s">
        <v>25</v>
      </c>
      <c r="B76" s="16">
        <v>1878.43</v>
      </c>
      <c r="C76" s="83">
        <v>1726.15</v>
      </c>
      <c r="D76" s="83">
        <v>1823.63</v>
      </c>
      <c r="E76" s="83">
        <v>1883.3</v>
      </c>
      <c r="F76" s="135">
        <v>1887.52</v>
      </c>
      <c r="G76" s="135">
        <v>1931.05</v>
      </c>
      <c r="H76" s="135">
        <v>2121.33</v>
      </c>
      <c r="I76" s="135">
        <f>2067.74+469.11</f>
        <v>2536.85</v>
      </c>
      <c r="J76" s="135">
        <f>1924.75+428.97</f>
        <v>2353.7200000000003</v>
      </c>
      <c r="K76" s="135">
        <f>1757.47+513.85</f>
        <v>2271.32</v>
      </c>
      <c r="L76" s="135">
        <f>1803.69+412.01</f>
        <v>2215.7</v>
      </c>
      <c r="M76" s="137">
        <v>2315.95</v>
      </c>
      <c r="N76" s="18">
        <f>SUM(B76:M76)</f>
        <v>24944.95</v>
      </c>
      <c r="O76" s="41">
        <f>N76/3276.8/12</f>
        <v>0.6343828837076823</v>
      </c>
      <c r="P76" s="38">
        <v>26200</v>
      </c>
      <c r="Q76" s="45">
        <f>P76/3276.8/12</f>
        <v>0.6663004557291666</v>
      </c>
    </row>
    <row r="77" spans="1:17" ht="12.75">
      <c r="A77" s="5"/>
      <c r="B77" s="16"/>
      <c r="C77" s="83"/>
      <c r="D77" s="83"/>
      <c r="E77" s="83"/>
      <c r="F77" s="135"/>
      <c r="G77" s="135"/>
      <c r="H77" s="135"/>
      <c r="I77" s="135"/>
      <c r="J77" s="135"/>
      <c r="K77" s="135"/>
      <c r="L77" s="135"/>
      <c r="M77" s="137"/>
      <c r="N77" s="18"/>
      <c r="O77" s="41"/>
      <c r="P77" s="38"/>
      <c r="Q77" s="45"/>
    </row>
    <row r="78" spans="1:17" ht="12.75">
      <c r="A78" s="5" t="s">
        <v>59</v>
      </c>
      <c r="B78" s="16">
        <v>332.25</v>
      </c>
      <c r="C78" s="83">
        <v>289.88</v>
      </c>
      <c r="D78" s="83">
        <v>136.78</v>
      </c>
      <c r="E78" s="83">
        <v>507.66</v>
      </c>
      <c r="F78" s="135">
        <v>289.47</v>
      </c>
      <c r="G78" s="135">
        <v>611.77</v>
      </c>
      <c r="H78" s="135">
        <v>448.45</v>
      </c>
      <c r="I78" s="135">
        <v>306.14</v>
      </c>
      <c r="J78" s="135">
        <v>135.1</v>
      </c>
      <c r="K78" s="135">
        <v>120.02</v>
      </c>
      <c r="L78" s="135">
        <v>420.98</v>
      </c>
      <c r="M78" s="137">
        <v>118.71</v>
      </c>
      <c r="N78" s="18">
        <f>SUM(B78:M78)</f>
        <v>3717.2099999999996</v>
      </c>
      <c r="O78" s="41">
        <f>N78/3276.8/12</f>
        <v>0.09453353881835935</v>
      </c>
      <c r="P78" s="38">
        <v>3350</v>
      </c>
      <c r="Q78" s="45">
        <f>P78/3276.8/12</f>
        <v>0.08519490559895833</v>
      </c>
    </row>
    <row r="79" spans="1:17" ht="12.75">
      <c r="A79" s="5"/>
      <c r="B79" s="16"/>
      <c r="C79" s="83"/>
      <c r="D79" s="83"/>
      <c r="E79" s="83"/>
      <c r="F79" s="135"/>
      <c r="G79" s="135"/>
      <c r="H79" s="135"/>
      <c r="I79" s="135"/>
      <c r="J79" s="135"/>
      <c r="K79" s="135"/>
      <c r="L79" s="135"/>
      <c r="M79" s="137"/>
      <c r="N79" s="18"/>
      <c r="O79" s="41"/>
      <c r="P79" s="38"/>
      <c r="Q79" s="45"/>
    </row>
    <row r="80" spans="1:17" ht="12.75">
      <c r="A80" s="5" t="s">
        <v>128</v>
      </c>
      <c r="B80" s="16"/>
      <c r="C80" s="83"/>
      <c r="D80" s="83"/>
      <c r="E80" s="83"/>
      <c r="F80" s="135">
        <v>180</v>
      </c>
      <c r="G80" s="135"/>
      <c r="H80" s="135"/>
      <c r="I80" s="135"/>
      <c r="J80" s="135"/>
      <c r="K80" s="135"/>
      <c r="L80" s="135"/>
      <c r="M80" s="137"/>
      <c r="N80" s="18">
        <f>SUM(B80:M80)</f>
        <v>180</v>
      </c>
      <c r="O80" s="41">
        <f>N80/3276.8/12</f>
        <v>0.00457763671875</v>
      </c>
      <c r="P80" s="38">
        <v>0</v>
      </c>
      <c r="Q80" s="45">
        <f>P80/3276.8/12</f>
        <v>0</v>
      </c>
    </row>
    <row r="81" spans="1:17" ht="12.75">
      <c r="A81" s="5"/>
      <c r="B81" s="16"/>
      <c r="C81" s="83"/>
      <c r="D81" s="83"/>
      <c r="E81" s="83"/>
      <c r="F81" s="135"/>
      <c r="G81" s="135"/>
      <c r="H81" s="135"/>
      <c r="I81" s="135"/>
      <c r="J81" s="135"/>
      <c r="K81" s="135"/>
      <c r="L81" s="135"/>
      <c r="M81" s="137"/>
      <c r="N81" s="18"/>
      <c r="O81" s="41"/>
      <c r="P81" s="38"/>
      <c r="Q81" s="45"/>
    </row>
    <row r="82" spans="1:17" ht="12.75">
      <c r="A82" s="5" t="s">
        <v>51</v>
      </c>
      <c r="B82" s="16">
        <f>9+30+12</f>
        <v>51</v>
      </c>
      <c r="C82" s="83">
        <v>1600</v>
      </c>
      <c r="D82" s="83">
        <v>240</v>
      </c>
      <c r="E82" s="83"/>
      <c r="F82" s="135"/>
      <c r="G82" s="135"/>
      <c r="H82" s="135"/>
      <c r="I82" s="135"/>
      <c r="J82" s="135"/>
      <c r="K82" s="135"/>
      <c r="L82" s="135"/>
      <c r="M82" s="137"/>
      <c r="N82" s="18">
        <f>SUM(B82:M82)</f>
        <v>1891</v>
      </c>
      <c r="O82" s="41">
        <f>N82/3276.8/12</f>
        <v>0.048090616861979164</v>
      </c>
      <c r="P82" s="38"/>
      <c r="Q82" s="45">
        <f>P82/3276.8/12</f>
        <v>0</v>
      </c>
    </row>
    <row r="83" spans="1:17" ht="12.75">
      <c r="A83" s="5"/>
      <c r="B83" s="16"/>
      <c r="C83" s="83"/>
      <c r="D83" s="83"/>
      <c r="E83" s="83"/>
      <c r="F83" s="135"/>
      <c r="G83" s="135"/>
      <c r="H83" s="135"/>
      <c r="I83" s="135"/>
      <c r="J83" s="135"/>
      <c r="K83" s="135"/>
      <c r="L83" s="135"/>
      <c r="M83" s="137"/>
      <c r="N83" s="18"/>
      <c r="O83" s="41"/>
      <c r="P83" s="38"/>
      <c r="Q83" s="45"/>
    </row>
    <row r="84" spans="1:17" ht="12.75">
      <c r="A84" s="5" t="s">
        <v>60</v>
      </c>
      <c r="B84" s="16"/>
      <c r="C84" s="83"/>
      <c r="D84" s="83">
        <v>15</v>
      </c>
      <c r="E84" s="83"/>
      <c r="F84" s="135"/>
      <c r="G84" s="135">
        <v>5535</v>
      </c>
      <c r="H84" s="135">
        <v>21</v>
      </c>
      <c r="I84" s="135"/>
      <c r="J84" s="135">
        <v>17</v>
      </c>
      <c r="K84" s="135">
        <f>90+21+42</f>
        <v>153</v>
      </c>
      <c r="L84" s="135">
        <v>2952</v>
      </c>
      <c r="M84" s="137">
        <v>36</v>
      </c>
      <c r="N84" s="18">
        <f>SUM(B84:M84)</f>
        <v>8729</v>
      </c>
      <c r="O84" s="41">
        <f>N84/3276.8/12</f>
        <v>0.22198994954427084</v>
      </c>
      <c r="P84" s="38">
        <v>2100</v>
      </c>
      <c r="Q84" s="45">
        <f>P84/3276.8/12</f>
        <v>0.05340576171875</v>
      </c>
    </row>
    <row r="85" spans="1:17" ht="12.75">
      <c r="A85" s="5"/>
      <c r="B85" s="16"/>
      <c r="C85" s="83"/>
      <c r="D85" s="83"/>
      <c r="E85" s="83"/>
      <c r="F85" s="135"/>
      <c r="G85" s="135"/>
      <c r="H85" s="135"/>
      <c r="I85" s="135"/>
      <c r="J85" s="135"/>
      <c r="K85" s="135"/>
      <c r="L85" s="135"/>
      <c r="M85" s="137"/>
      <c r="N85" s="18"/>
      <c r="O85" s="41"/>
      <c r="P85" s="38"/>
      <c r="Q85" s="45"/>
    </row>
    <row r="86" spans="1:17" ht="12.75">
      <c r="A86" s="5" t="s">
        <v>53</v>
      </c>
      <c r="B86" s="16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5"/>
      <c r="N86" s="18">
        <f>SUM(B86:M86)</f>
        <v>0</v>
      </c>
      <c r="O86" s="41">
        <f>N86/3276.8/12</f>
        <v>0</v>
      </c>
      <c r="P86" s="38">
        <v>-716</v>
      </c>
      <c r="Q86" s="45">
        <f>P86/3276.8/12</f>
        <v>-0.018208821614583332</v>
      </c>
    </row>
    <row r="87" spans="1:17" ht="12.75">
      <c r="A87" s="5"/>
      <c r="B87" s="13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7"/>
      <c r="N87" s="18"/>
      <c r="O87" s="41"/>
      <c r="P87" s="61"/>
      <c r="Q87" s="62"/>
    </row>
    <row r="88" spans="1:17" ht="12.75">
      <c r="A88" s="20"/>
      <c r="B88" s="2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9"/>
      <c r="N88" s="48"/>
      <c r="O88" s="63"/>
      <c r="P88" s="38"/>
      <c r="Q88" s="45"/>
    </row>
    <row r="89" spans="1:17" ht="12.75">
      <c r="A89" s="22"/>
      <c r="B89" s="16">
        <f>SUM(B62:B86)</f>
        <v>5224.29</v>
      </c>
      <c r="C89" s="83">
        <f>SUM(C62:C86)</f>
        <v>5790.49</v>
      </c>
      <c r="D89" s="83">
        <f>SUM(D62:D86)</f>
        <v>4953.5</v>
      </c>
      <c r="E89" s="83">
        <f>SUM(E62:E86)</f>
        <v>4440.96</v>
      </c>
      <c r="F89" s="83">
        <f>SUM(F62:F86)</f>
        <v>4832.35</v>
      </c>
      <c r="G89" s="83">
        <f>SUM(G62:G86)</f>
        <v>10271.17</v>
      </c>
      <c r="H89" s="83">
        <f>SUM(H62:H86)</f>
        <v>5820.44</v>
      </c>
      <c r="I89" s="83">
        <f>SUM(I62:I86)</f>
        <v>4981.99</v>
      </c>
      <c r="J89" s="83">
        <f>SUM(J62:J86)</f>
        <v>5444.740000000001</v>
      </c>
      <c r="K89" s="83">
        <f>SUM(K62:K86)</f>
        <v>4377.540000000001</v>
      </c>
      <c r="L89" s="83">
        <f>SUM(L62:L86)</f>
        <v>7965.51</v>
      </c>
      <c r="M89" s="90">
        <f>SUM(M62:M86)</f>
        <v>5198.25</v>
      </c>
      <c r="N89" s="18">
        <f>SUM(N62:N84)</f>
        <v>69301.23000000001</v>
      </c>
      <c r="O89" s="18">
        <f>SUM(O58:O86)</f>
        <v>1.762421417236328</v>
      </c>
      <c r="P89" s="38">
        <f>SUM(P58:P86)</f>
        <v>63034</v>
      </c>
      <c r="Q89" s="45">
        <f>SUM(Q58:Q86)</f>
        <v>1.6030375162760415</v>
      </c>
    </row>
    <row r="90" spans="1:17" ht="12.75">
      <c r="A90" s="24"/>
      <c r="B90" s="1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2"/>
      <c r="N90" s="64"/>
      <c r="O90" s="65"/>
      <c r="P90" s="61"/>
      <c r="Q90" s="62"/>
    </row>
    <row r="91" spans="1:17" ht="12.75">
      <c r="A91" s="47"/>
      <c r="B91" s="2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48"/>
      <c r="O91" s="49"/>
      <c r="P91" s="50"/>
      <c r="Q91" s="51"/>
    </row>
    <row r="92" spans="1:17" ht="12.75">
      <c r="A92" s="5" t="s">
        <v>52</v>
      </c>
      <c r="B92" s="13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18"/>
      <c r="O92" s="52">
        <f>N92/3276.8/12</f>
        <v>0</v>
      </c>
      <c r="P92" s="53"/>
      <c r="Q92" s="52">
        <f>P92/3276.8/12</f>
        <v>0</v>
      </c>
    </row>
    <row r="93" spans="1:17" ht="12.75">
      <c r="A93" s="9"/>
      <c r="B93" s="1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12"/>
      <c r="O93" s="54"/>
      <c r="P93" s="55"/>
      <c r="Q93" s="56"/>
    </row>
    <row r="94" spans="3:13" ht="12.7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ht="12.75">
      <c r="A95" t="s">
        <v>62</v>
      </c>
      <c r="B95" t="s">
        <v>63</v>
      </c>
      <c r="C95" s="94" t="s">
        <v>62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ht="12.75">
      <c r="A96" s="66" t="s">
        <v>141</v>
      </c>
      <c r="B96" s="67">
        <v>4012.81</v>
      </c>
      <c r="C96" s="112">
        <v>7537.54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ht="12.75">
      <c r="A97" s="66" t="s">
        <v>142</v>
      </c>
      <c r="B97" s="102">
        <f>1041.6*5.3*12</f>
        <v>66245.76</v>
      </c>
      <c r="C97" s="113">
        <f>2237*5.9*12</f>
        <v>158379.6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ht="12.75">
      <c r="A98" s="66" t="s">
        <v>143</v>
      </c>
      <c r="B98" s="113">
        <v>65656.92</v>
      </c>
      <c r="C98" s="113">
        <v>154788.72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ht="12.75">
      <c r="A99" s="66" t="s">
        <v>132</v>
      </c>
      <c r="B99" s="112"/>
      <c r="C99" s="112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ht="12.75">
      <c r="A100" s="66"/>
      <c r="B100" s="67">
        <f>B96+B97-B98-B99</f>
        <v>4601.649999999994</v>
      </c>
      <c r="C100" s="112">
        <f>C96+C97-C98-C99</f>
        <v>11128.420000000013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ht="12.75">
      <c r="A101" s="66"/>
      <c r="B101" s="67"/>
      <c r="C101" s="112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12.75">
      <c r="A102" s="66"/>
      <c r="B102" s="67"/>
      <c r="C102" s="112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2.75">
      <c r="A103" s="66"/>
      <c r="B103" s="67"/>
      <c r="C103" s="112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ht="12.75">
      <c r="A104" s="66"/>
      <c r="B104" s="67"/>
      <c r="C104" s="112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ht="12.75">
      <c r="A105" s="66"/>
      <c r="B105" s="67"/>
      <c r="C105" s="112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ht="12.75">
      <c r="A106" s="66"/>
      <c r="B106" s="67"/>
      <c r="C106" s="112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3:13" ht="12.7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3:13" ht="12.7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3:13" ht="12.7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3:13" ht="12.7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3:13" ht="12.7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3:13" ht="12.7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3:13" ht="12.7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3:13" ht="12.7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ht="12.75">
      <c r="A115" s="130">
        <v>2014</v>
      </c>
      <c r="B115" s="108" t="s">
        <v>133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6" t="s">
        <v>134</v>
      </c>
    </row>
    <row r="116" spans="1:13" ht="12.75">
      <c r="A116" s="130"/>
      <c r="B116" s="108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7"/>
    </row>
    <row r="117" spans="1:17" ht="12.75">
      <c r="A117" s="2"/>
      <c r="B117" s="2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98"/>
      <c r="N117" s="4"/>
      <c r="O117" s="28"/>
      <c r="P117" s="29" t="s">
        <v>123</v>
      </c>
      <c r="Q117" s="30"/>
    </row>
    <row r="118" spans="1:17" ht="12.75">
      <c r="A118" s="5" t="s">
        <v>1</v>
      </c>
      <c r="B118" s="6" t="s">
        <v>2</v>
      </c>
      <c r="C118" s="99" t="s">
        <v>3</v>
      </c>
      <c r="D118" s="99" t="s">
        <v>4</v>
      </c>
      <c r="E118" s="99" t="s">
        <v>5</v>
      </c>
      <c r="F118" s="99" t="s">
        <v>6</v>
      </c>
      <c r="G118" s="99" t="s">
        <v>7</v>
      </c>
      <c r="H118" s="99" t="s">
        <v>8</v>
      </c>
      <c r="I118" s="99" t="s">
        <v>9</v>
      </c>
      <c r="J118" s="99" t="s">
        <v>10</v>
      </c>
      <c r="K118" s="99" t="s">
        <v>11</v>
      </c>
      <c r="L118" s="99" t="s">
        <v>12</v>
      </c>
      <c r="M118" s="100" t="s">
        <v>13</v>
      </c>
      <c r="N118" s="8" t="s">
        <v>14</v>
      </c>
      <c r="O118" s="31" t="s">
        <v>47</v>
      </c>
      <c r="P118" s="32"/>
      <c r="Q118" s="33" t="s">
        <v>47</v>
      </c>
    </row>
    <row r="119" spans="1:17" ht="12.75">
      <c r="A119" s="9"/>
      <c r="B119" s="1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101"/>
      <c r="N119" s="12"/>
      <c r="O119" s="34"/>
      <c r="P119" s="32" t="s">
        <v>48</v>
      </c>
      <c r="Q119" s="35" t="s">
        <v>49</v>
      </c>
    </row>
    <row r="120" spans="1:17" ht="12.75">
      <c r="A120" s="5"/>
      <c r="B120" s="13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15"/>
      <c r="O120" s="31"/>
      <c r="P120" s="36"/>
      <c r="Q120" s="37"/>
    </row>
    <row r="121" spans="1:17" ht="12.75">
      <c r="A121" s="5" t="s">
        <v>15</v>
      </c>
      <c r="B121" s="16">
        <v>250</v>
      </c>
      <c r="C121" s="83">
        <v>250</v>
      </c>
      <c r="D121" s="83">
        <v>250</v>
      </c>
      <c r="E121" s="83">
        <v>250</v>
      </c>
      <c r="F121" s="135">
        <v>250</v>
      </c>
      <c r="G121" s="135">
        <v>250</v>
      </c>
      <c r="H121" s="135">
        <v>250</v>
      </c>
      <c r="I121" s="135">
        <v>250</v>
      </c>
      <c r="J121" s="135">
        <v>250</v>
      </c>
      <c r="K121" s="135">
        <v>250</v>
      </c>
      <c r="L121" s="135">
        <v>250</v>
      </c>
      <c r="M121" s="135">
        <v>250</v>
      </c>
      <c r="N121" s="18">
        <f>SUM(B121:M121)</f>
        <v>3000</v>
      </c>
      <c r="O121" s="41">
        <f>N121/622.8/12</f>
        <v>0.40141297366730894</v>
      </c>
      <c r="P121" s="38">
        <v>3000</v>
      </c>
      <c r="Q121" s="45">
        <f>P121/622.8/12</f>
        <v>0.40141297366730894</v>
      </c>
    </row>
    <row r="122" spans="1:17" ht="12.75">
      <c r="A122" s="19"/>
      <c r="B122" s="16"/>
      <c r="C122" s="83"/>
      <c r="D122" s="83"/>
      <c r="E122" s="83"/>
      <c r="F122" s="135"/>
      <c r="G122" s="135"/>
      <c r="H122" s="135"/>
      <c r="I122" s="135"/>
      <c r="J122" s="135"/>
      <c r="K122" s="135"/>
      <c r="L122" s="135"/>
      <c r="M122" s="137"/>
      <c r="N122" s="18"/>
      <c r="O122" s="41"/>
      <c r="P122" s="38"/>
      <c r="Q122" s="45"/>
    </row>
    <row r="123" spans="1:17" ht="12.75">
      <c r="A123" s="5" t="s">
        <v>103</v>
      </c>
      <c r="B123" s="16">
        <v>49.82</v>
      </c>
      <c r="C123" s="83"/>
      <c r="D123" s="83">
        <v>55.03</v>
      </c>
      <c r="E123" s="83"/>
      <c r="F123" s="135">
        <f>29.94+13.87</f>
        <v>43.81</v>
      </c>
      <c r="G123" s="135"/>
      <c r="H123" s="135">
        <v>40.34</v>
      </c>
      <c r="I123" s="135"/>
      <c r="J123" s="135">
        <v>52.87</v>
      </c>
      <c r="K123" s="135"/>
      <c r="L123" s="135">
        <f>13.31+30.63</f>
        <v>43.94</v>
      </c>
      <c r="M123" s="137"/>
      <c r="N123" s="18">
        <f>SUM(B123:M123)</f>
        <v>285.81</v>
      </c>
      <c r="O123" s="41">
        <f>N123/622.8/12</f>
        <v>0.03824261400128453</v>
      </c>
      <c r="P123" s="38">
        <v>350</v>
      </c>
      <c r="Q123" s="45">
        <f>P123/622.8/12</f>
        <v>0.046831513594519376</v>
      </c>
    </row>
    <row r="124" spans="1:17" ht="12.75">
      <c r="A124" s="5"/>
      <c r="B124" s="16"/>
      <c r="C124" s="83"/>
      <c r="D124" s="83"/>
      <c r="E124" s="83"/>
      <c r="F124" s="135"/>
      <c r="G124" s="135"/>
      <c r="H124" s="135"/>
      <c r="I124" s="135"/>
      <c r="J124" s="135"/>
      <c r="K124" s="135"/>
      <c r="L124" s="135"/>
      <c r="M124" s="137"/>
      <c r="N124" s="18"/>
      <c r="O124" s="41"/>
      <c r="P124" s="38"/>
      <c r="Q124" s="45"/>
    </row>
    <row r="125" spans="1:17" ht="12.75">
      <c r="A125" s="5" t="s">
        <v>135</v>
      </c>
      <c r="B125" s="16"/>
      <c r="C125" s="83"/>
      <c r="D125" s="83"/>
      <c r="E125" s="83"/>
      <c r="F125" s="135"/>
      <c r="G125" s="135"/>
      <c r="H125" s="135"/>
      <c r="I125" s="135"/>
      <c r="J125" s="135"/>
      <c r="K125" s="135"/>
      <c r="L125" s="135"/>
      <c r="M125" s="137"/>
      <c r="N125" s="18">
        <f>SUM(B125:M125)</f>
        <v>0</v>
      </c>
      <c r="O125" s="41"/>
      <c r="P125" s="38">
        <v>400</v>
      </c>
      <c r="Q125" s="45">
        <f>P125/622.8/12</f>
        <v>0.05352172982230786</v>
      </c>
    </row>
    <row r="126" spans="1:17" ht="12.75">
      <c r="A126" s="5"/>
      <c r="B126" s="16"/>
      <c r="C126" s="83"/>
      <c r="D126" s="83"/>
      <c r="E126" s="83"/>
      <c r="F126" s="135"/>
      <c r="G126" s="135"/>
      <c r="H126" s="135"/>
      <c r="I126" s="135"/>
      <c r="J126" s="135"/>
      <c r="K126" s="135"/>
      <c r="L126" s="135"/>
      <c r="M126" s="137"/>
      <c r="N126" s="18"/>
      <c r="O126" s="41"/>
      <c r="P126" s="38"/>
      <c r="Q126" s="45"/>
    </row>
    <row r="127" spans="1:17" ht="12.75">
      <c r="A127" s="5" t="s">
        <v>18</v>
      </c>
      <c r="B127" s="16">
        <v>35</v>
      </c>
      <c r="C127" s="83">
        <v>120</v>
      </c>
      <c r="D127" s="83">
        <v>210</v>
      </c>
      <c r="E127" s="83">
        <v>40</v>
      </c>
      <c r="F127" s="135">
        <f>40+80</f>
        <v>120</v>
      </c>
      <c r="G127" s="135">
        <f>40+80</f>
        <v>120</v>
      </c>
      <c r="H127" s="135">
        <f>50.01+80</f>
        <v>130.01</v>
      </c>
      <c r="I127" s="135">
        <v>130</v>
      </c>
      <c r="J127" s="135">
        <v>130</v>
      </c>
      <c r="K127" s="135">
        <f>50+80</f>
        <v>130</v>
      </c>
      <c r="L127" s="135">
        <f>50</f>
        <v>50</v>
      </c>
      <c r="M127" s="135">
        <f>79+80+43.4</f>
        <v>202.4</v>
      </c>
      <c r="N127" s="18">
        <f>SUM(B127:M127)</f>
        <v>1417.41</v>
      </c>
      <c r="O127" s="41">
        <f>N127/622.8/12</f>
        <v>0.18965558766859347</v>
      </c>
      <c r="P127" s="38">
        <v>1500</v>
      </c>
      <c r="Q127" s="45">
        <f>P127/622.8/12</f>
        <v>0.20070648683365447</v>
      </c>
    </row>
    <row r="128" spans="1:17" ht="12.75">
      <c r="A128" s="5"/>
      <c r="B128" s="16"/>
      <c r="C128" s="83"/>
      <c r="D128" s="83"/>
      <c r="E128" s="83"/>
      <c r="F128" s="135"/>
      <c r="G128" s="135"/>
      <c r="H128" s="135"/>
      <c r="I128" s="135"/>
      <c r="J128" s="135"/>
      <c r="K128" s="135"/>
      <c r="L128" s="135"/>
      <c r="M128" s="137"/>
      <c r="N128" s="18"/>
      <c r="O128" s="41"/>
      <c r="P128" s="38"/>
      <c r="Q128" s="45"/>
    </row>
    <row r="129" spans="1:17" ht="12.75">
      <c r="A129" s="5" t="s">
        <v>19</v>
      </c>
      <c r="B129" s="16"/>
      <c r="C129" s="83"/>
      <c r="D129" s="83"/>
      <c r="E129" s="83">
        <v>400</v>
      </c>
      <c r="F129" s="135"/>
      <c r="G129" s="135"/>
      <c r="H129" s="135"/>
      <c r="I129" s="135"/>
      <c r="J129" s="135"/>
      <c r="K129" s="135"/>
      <c r="L129" s="135"/>
      <c r="M129" s="137">
        <v>194.4</v>
      </c>
      <c r="N129" s="18">
        <f>SUM(B129:M129)</f>
        <v>594.4</v>
      </c>
      <c r="O129" s="41">
        <f>N129/622.8/12</f>
        <v>0.07953329051594947</v>
      </c>
      <c r="P129" s="38">
        <v>600</v>
      </c>
      <c r="Q129" s="45">
        <f>P129/622.8/12</f>
        <v>0.08028259473346179</v>
      </c>
    </row>
    <row r="130" spans="1:17" ht="12.75">
      <c r="A130" s="5"/>
      <c r="B130" s="16"/>
      <c r="C130" s="83"/>
      <c r="D130" s="83"/>
      <c r="E130" s="83"/>
      <c r="F130" s="135"/>
      <c r="G130" s="135"/>
      <c r="H130" s="135"/>
      <c r="I130" s="135"/>
      <c r="J130" s="135"/>
      <c r="K130" s="135"/>
      <c r="L130" s="135"/>
      <c r="M130" s="137"/>
      <c r="N130" s="18"/>
      <c r="O130" s="41"/>
      <c r="P130" s="38"/>
      <c r="Q130" s="45"/>
    </row>
    <row r="131" spans="1:17" ht="12.75">
      <c r="A131" s="5" t="s">
        <v>20</v>
      </c>
      <c r="B131" s="16">
        <v>0</v>
      </c>
      <c r="C131" s="83"/>
      <c r="D131" s="83">
        <v>0</v>
      </c>
      <c r="E131" s="83"/>
      <c r="F131" s="135"/>
      <c r="G131" s="135">
        <f>29.98+10</f>
        <v>39.980000000000004</v>
      </c>
      <c r="H131" s="135">
        <f>170+83.99</f>
        <v>253.99</v>
      </c>
      <c r="I131" s="135"/>
      <c r="J131" s="135"/>
      <c r="K131" s="135"/>
      <c r="L131" s="135"/>
      <c r="M131" s="137">
        <v>41.26</v>
      </c>
      <c r="N131" s="18">
        <f>SUM(B131:M131)</f>
        <v>335.23</v>
      </c>
      <c r="O131" s="41">
        <f>N131/622.8/12</f>
        <v>0.044855223720830666</v>
      </c>
      <c r="P131" s="38">
        <v>0</v>
      </c>
      <c r="Q131" s="45">
        <f>P131/622.8/12</f>
        <v>0</v>
      </c>
    </row>
    <row r="132" spans="1:17" ht="12.75">
      <c r="A132" s="5"/>
      <c r="B132" s="16"/>
      <c r="C132" s="83"/>
      <c r="D132" s="83"/>
      <c r="E132" s="83"/>
      <c r="F132" s="135"/>
      <c r="G132" s="135"/>
      <c r="H132" s="135"/>
      <c r="I132" s="135"/>
      <c r="J132" s="135"/>
      <c r="K132" s="135"/>
      <c r="L132" s="135"/>
      <c r="M132" s="137"/>
      <c r="N132" s="18"/>
      <c r="O132" s="41"/>
      <c r="P132" s="38"/>
      <c r="Q132" s="45"/>
    </row>
    <row r="133" spans="1:17" ht="12.75">
      <c r="A133" s="5" t="s">
        <v>23</v>
      </c>
      <c r="B133" s="16"/>
      <c r="C133" s="83">
        <v>243</v>
      </c>
      <c r="D133" s="83"/>
      <c r="E133" s="83"/>
      <c r="F133" s="135"/>
      <c r="G133" s="135"/>
      <c r="H133" s="135"/>
      <c r="I133" s="135">
        <v>211</v>
      </c>
      <c r="J133" s="135"/>
      <c r="K133" s="135"/>
      <c r="L133" s="135"/>
      <c r="M133" s="137"/>
      <c r="N133" s="18">
        <f>SUM(B133:M133)</f>
        <v>454</v>
      </c>
      <c r="O133" s="41">
        <f>N133/622.8/12</f>
        <v>0.06074716334831942</v>
      </c>
      <c r="P133" s="38">
        <v>450</v>
      </c>
      <c r="Q133" s="45">
        <f>P133/622.8/12</f>
        <v>0.06021194605009634</v>
      </c>
    </row>
    <row r="134" spans="1:17" ht="12.75">
      <c r="A134" s="5"/>
      <c r="B134" s="16"/>
      <c r="C134" s="83"/>
      <c r="D134" s="83"/>
      <c r="E134" s="83"/>
      <c r="F134" s="135"/>
      <c r="G134" s="135"/>
      <c r="H134" s="135"/>
      <c r="I134" s="135"/>
      <c r="J134" s="135"/>
      <c r="K134" s="135"/>
      <c r="L134" s="135"/>
      <c r="M134" s="137"/>
      <c r="N134" s="18"/>
      <c r="O134" s="41"/>
      <c r="P134" s="38"/>
      <c r="Q134" s="45"/>
    </row>
    <row r="135" spans="1:17" ht="12.75">
      <c r="A135" s="5" t="s">
        <v>136</v>
      </c>
      <c r="B135" s="16"/>
      <c r="C135" s="83"/>
      <c r="D135" s="83"/>
      <c r="E135" s="83"/>
      <c r="F135" s="135"/>
      <c r="G135" s="135"/>
      <c r="H135" s="135"/>
      <c r="I135" s="135"/>
      <c r="J135" s="135">
        <v>250</v>
      </c>
      <c r="K135" s="135"/>
      <c r="L135" s="135"/>
      <c r="M135" s="137"/>
      <c r="N135" s="18">
        <f>SUM(B135:M135)</f>
        <v>250</v>
      </c>
      <c r="O135" s="41">
        <f>N135/622.8/12</f>
        <v>0.033451081138942414</v>
      </c>
      <c r="P135" s="38">
        <v>350</v>
      </c>
      <c r="Q135" s="45">
        <f>P135/622.8/12</f>
        <v>0.046831513594519376</v>
      </c>
    </row>
    <row r="136" spans="1:17" ht="12.75">
      <c r="A136" s="5"/>
      <c r="B136" s="16"/>
      <c r="C136" s="83"/>
      <c r="D136" s="83"/>
      <c r="E136" s="83"/>
      <c r="F136" s="135"/>
      <c r="G136" s="135"/>
      <c r="H136" s="135"/>
      <c r="I136" s="135"/>
      <c r="J136" s="135"/>
      <c r="K136" s="135"/>
      <c r="L136" s="135"/>
      <c r="M136" s="137"/>
      <c r="N136" s="18"/>
      <c r="O136" s="41"/>
      <c r="P136" s="38"/>
      <c r="Q136" s="45"/>
    </row>
    <row r="137" spans="1:17" ht="12.75">
      <c r="A137" s="5" t="s">
        <v>25</v>
      </c>
      <c r="B137" s="16">
        <v>356.82</v>
      </c>
      <c r="C137" s="83">
        <v>327.9</v>
      </c>
      <c r="D137" s="83">
        <v>346.41</v>
      </c>
      <c r="E137" s="83">
        <v>357.75</v>
      </c>
      <c r="F137" s="135">
        <v>358.55</v>
      </c>
      <c r="G137" s="135">
        <v>366.82</v>
      </c>
      <c r="H137" s="135">
        <v>402.97</v>
      </c>
      <c r="I137" s="135">
        <f>392.79+89.11</f>
        <v>481.90000000000003</v>
      </c>
      <c r="J137" s="135">
        <f>365.62+81.49</f>
        <v>447.11</v>
      </c>
      <c r="K137" s="135">
        <f>333.85+97.61</f>
        <v>431.46000000000004</v>
      </c>
      <c r="L137" s="135">
        <f>342.63+78.27</f>
        <v>420.9</v>
      </c>
      <c r="M137" s="137">
        <v>439.93</v>
      </c>
      <c r="N137" s="18">
        <f>SUM(B137:M137)</f>
        <v>4738.5199999999995</v>
      </c>
      <c r="O137" s="41">
        <f>N137/622.8/12</f>
        <v>0.6340344679940055</v>
      </c>
      <c r="P137" s="38">
        <v>5000</v>
      </c>
      <c r="Q137" s="45">
        <f>P137/622.8/12</f>
        <v>0.6690216227788482</v>
      </c>
    </row>
    <row r="138" spans="1:17" ht="12.75">
      <c r="A138" s="5"/>
      <c r="B138" s="16"/>
      <c r="C138" s="83"/>
      <c r="D138" s="83"/>
      <c r="E138" s="83"/>
      <c r="F138" s="135"/>
      <c r="G138" s="135"/>
      <c r="H138" s="135"/>
      <c r="I138" s="135"/>
      <c r="J138" s="135"/>
      <c r="K138" s="135"/>
      <c r="L138" s="135"/>
      <c r="M138" s="137"/>
      <c r="N138" s="18"/>
      <c r="O138" s="41"/>
      <c r="P138" s="38"/>
      <c r="Q138" s="45"/>
    </row>
    <row r="139" spans="1:17" ht="12.75">
      <c r="A139" s="5" t="s">
        <v>59</v>
      </c>
      <c r="B139" s="16">
        <v>63.11</v>
      </c>
      <c r="C139" s="83">
        <v>55.07</v>
      </c>
      <c r="D139" s="83">
        <v>25.98</v>
      </c>
      <c r="E139" s="83">
        <v>96.44</v>
      </c>
      <c r="F139" s="135">
        <v>54.99</v>
      </c>
      <c r="G139" s="135">
        <v>116.21</v>
      </c>
      <c r="H139" s="135">
        <v>85.19</v>
      </c>
      <c r="I139" s="135">
        <v>58.15</v>
      </c>
      <c r="J139" s="135">
        <v>25.66</v>
      </c>
      <c r="K139" s="135">
        <v>22.8</v>
      </c>
      <c r="L139" s="135">
        <v>79.97</v>
      </c>
      <c r="M139" s="137">
        <v>22.55</v>
      </c>
      <c r="N139" s="18">
        <f>SUM(B139:M139)</f>
        <v>706.1199999999999</v>
      </c>
      <c r="O139" s="41">
        <f>N139/622.8/12</f>
        <v>0.09448190965532005</v>
      </c>
      <c r="P139" s="38">
        <v>700</v>
      </c>
      <c r="Q139" s="45">
        <f>P139/622.8/12</f>
        <v>0.09366302718903875</v>
      </c>
    </row>
    <row r="140" spans="1:17" ht="12.75">
      <c r="A140" s="5"/>
      <c r="B140" s="16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5"/>
      <c r="N140" s="18"/>
      <c r="O140" s="41"/>
      <c r="P140" s="38"/>
      <c r="Q140" s="45"/>
    </row>
    <row r="141" spans="1:17" ht="12.75">
      <c r="A141" s="5" t="s">
        <v>53</v>
      </c>
      <c r="B141" s="16">
        <f>751.04+350.82</f>
        <v>1101.86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5"/>
      <c r="N141" s="18">
        <f>SUM(B141:M141)</f>
        <v>1101.86</v>
      </c>
      <c r="O141" s="41">
        <f>N141/622.8/12</f>
        <v>0.14743363305502033</v>
      </c>
      <c r="P141" s="38">
        <v>1101.86</v>
      </c>
      <c r="Q141" s="45">
        <f>P141/622.8/12</f>
        <v>0.14743363305502033</v>
      </c>
    </row>
    <row r="142" spans="1:17" ht="12.75">
      <c r="A142" s="5"/>
      <c r="B142" s="13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7"/>
      <c r="N142" s="15"/>
      <c r="O142" s="41"/>
      <c r="P142" s="61"/>
      <c r="Q142" s="62"/>
    </row>
    <row r="143" spans="1:17" ht="12.75">
      <c r="A143" s="20"/>
      <c r="B143" s="2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9"/>
      <c r="N143" s="4"/>
      <c r="O143" s="63"/>
      <c r="P143" s="38"/>
      <c r="Q143" s="45"/>
    </row>
    <row r="144" spans="1:17" ht="12.75">
      <c r="A144" s="22"/>
      <c r="B144" s="16">
        <f>SUM(B121:B141)</f>
        <v>1856.61</v>
      </c>
      <c r="C144" s="83">
        <f>SUM(C121:C141)</f>
        <v>995.97</v>
      </c>
      <c r="D144" s="83">
        <f>SUM(D121:D141)</f>
        <v>887.4200000000001</v>
      </c>
      <c r="E144" s="83">
        <f>SUM(E121:E141)</f>
        <v>1144.19</v>
      </c>
      <c r="F144" s="83">
        <f>SUM(F121:F141)</f>
        <v>827.35</v>
      </c>
      <c r="G144" s="83">
        <f>SUM(G121:G141)</f>
        <v>893.01</v>
      </c>
      <c r="H144" s="83">
        <f>SUM(H121:H141)</f>
        <v>1162.5</v>
      </c>
      <c r="I144" s="83">
        <f>SUM(I121:I141)</f>
        <v>1131.0500000000002</v>
      </c>
      <c r="J144" s="83">
        <f>SUM(J121:J141)</f>
        <v>1155.6399999999999</v>
      </c>
      <c r="K144" s="83">
        <f>SUM(K121:K141)</f>
        <v>834.26</v>
      </c>
      <c r="L144" s="83">
        <f>SUM(L121:L141)</f>
        <v>844.81</v>
      </c>
      <c r="M144" s="83">
        <f>SUM(M121:M141)</f>
        <v>1150.54</v>
      </c>
      <c r="N144" s="18">
        <f>SUM(N121:N139)</f>
        <v>11781.489999999998</v>
      </c>
      <c r="O144" s="18">
        <f>SUM(O116:O141)</f>
        <v>1.7238479447655748</v>
      </c>
      <c r="P144" s="38">
        <f>SUM(P116:P141)</f>
        <v>13451.86</v>
      </c>
      <c r="Q144" s="45">
        <f>SUM(Q116:Q141)</f>
        <v>1.7999170413187755</v>
      </c>
    </row>
    <row r="145" spans="1:17" ht="12.75">
      <c r="A145" s="24"/>
      <c r="B145" s="1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2"/>
      <c r="N145" s="12"/>
      <c r="O145" s="65"/>
      <c r="P145" s="61"/>
      <c r="Q145" s="62"/>
    </row>
    <row r="146" spans="1:17" ht="12.75">
      <c r="A146" s="47" t="s">
        <v>53</v>
      </c>
      <c r="B146" s="2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48"/>
      <c r="O146" s="68"/>
      <c r="P146" s="50"/>
      <c r="Q146" s="51"/>
    </row>
    <row r="147" spans="1:17" ht="12.75">
      <c r="A147" s="5" t="s">
        <v>69</v>
      </c>
      <c r="B147" s="83">
        <f>(B144-B141)/622.8*207.6</f>
        <v>251.58333333333334</v>
      </c>
      <c r="C147" s="83">
        <f>(C144-C141)/622.8*207.6</f>
        <v>331.99000000000007</v>
      </c>
      <c r="D147" s="83">
        <f>(D144-D141)/622.8*207.6</f>
        <v>295.8066666666667</v>
      </c>
      <c r="E147" s="83">
        <f>(E144-E141)/622.8*207.6</f>
        <v>381.3966666666667</v>
      </c>
      <c r="F147" s="83">
        <f>(F144-F141)/622.8*207.6</f>
        <v>275.78333333333336</v>
      </c>
      <c r="G147" s="83">
        <f>(G144-G141)/622.8*207.6</f>
        <v>297.67</v>
      </c>
      <c r="H147" s="83">
        <f>(H144-H141)/622.8*207.6</f>
        <v>387.5</v>
      </c>
      <c r="I147" s="83">
        <f>(I144-I141)/622.8*207.6</f>
        <v>377.01666666666677</v>
      </c>
      <c r="J147" s="83">
        <f>(J144-J141)/622.8*207.6</f>
        <v>385.2133333333333</v>
      </c>
      <c r="K147" s="83">
        <f>(K144-K141)/622.8*207.6</f>
        <v>278.08666666666664</v>
      </c>
      <c r="L147" s="83">
        <f>(L144-L141)/622.8*207.6</f>
        <v>281.60333333333335</v>
      </c>
      <c r="M147" s="83">
        <f>(M144-M141)/622.8*207.6</f>
        <v>383.5133333333334</v>
      </c>
      <c r="N147" s="16">
        <f>(N144-N135-N141)/622.8*207.6</f>
        <v>3476.5433333333326</v>
      </c>
      <c r="O147" s="16"/>
      <c r="P147" s="16">
        <f>(P144-P135-P141)/622.8*207.6</f>
        <v>4000</v>
      </c>
      <c r="Q147" s="16"/>
    </row>
    <row r="148" spans="1:17" ht="12.75">
      <c r="A148" s="9"/>
      <c r="B148" s="1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12"/>
      <c r="O148" s="25"/>
      <c r="P148" s="55"/>
      <c r="Q148" s="56"/>
    </row>
    <row r="149" spans="3:13" ht="12.75"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1:13" ht="12.75">
      <c r="A150" s="133" t="s">
        <v>125</v>
      </c>
      <c r="B150">
        <v>207.6</v>
      </c>
      <c r="C150" s="94">
        <v>207.6</v>
      </c>
      <c r="D150" s="94">
        <v>207.6</v>
      </c>
      <c r="E150" s="94">
        <v>207.6</v>
      </c>
      <c r="F150" s="94">
        <v>207.6</v>
      </c>
      <c r="G150" s="94">
        <v>207.6</v>
      </c>
      <c r="H150" s="94">
        <v>207.6</v>
      </c>
      <c r="I150" s="94">
        <v>207.6</v>
      </c>
      <c r="J150" s="94">
        <v>207.6</v>
      </c>
      <c r="K150" s="94">
        <v>207.6</v>
      </c>
      <c r="L150" s="94">
        <v>207.6</v>
      </c>
      <c r="M150" s="94">
        <v>207.6</v>
      </c>
    </row>
    <row r="151" spans="3:13" ht="12.75">
      <c r="C151" s="94"/>
      <c r="D151" s="94"/>
      <c r="E151" s="94"/>
      <c r="F151" s="94"/>
      <c r="G151" s="94"/>
      <c r="H151" s="94"/>
      <c r="I151" s="94"/>
      <c r="J151" s="103"/>
      <c r="K151" s="103"/>
      <c r="L151" s="103"/>
      <c r="M151" s="103"/>
    </row>
    <row r="152" spans="3:13" ht="12.75">
      <c r="C152" s="94"/>
      <c r="D152" s="94"/>
      <c r="E152" s="94"/>
      <c r="F152" s="94"/>
      <c r="G152" s="94"/>
      <c r="H152" s="94"/>
      <c r="I152" s="94"/>
      <c r="J152" s="103"/>
      <c r="K152" s="103"/>
      <c r="L152" s="103"/>
      <c r="M152" s="103"/>
    </row>
    <row r="153" spans="3:13" ht="12.75">
      <c r="C153" s="94"/>
      <c r="D153" s="94"/>
      <c r="E153" s="94"/>
      <c r="F153" s="94"/>
      <c r="G153" s="94"/>
      <c r="H153" s="94"/>
      <c r="I153" s="94"/>
      <c r="J153" s="103"/>
      <c r="K153" s="103"/>
      <c r="L153" s="103"/>
      <c r="M153" s="103"/>
    </row>
    <row r="154" spans="3:13" ht="12.75">
      <c r="C154" s="94"/>
      <c r="D154" s="94"/>
      <c r="E154" s="94"/>
      <c r="F154" s="94"/>
      <c r="G154" s="94"/>
      <c r="H154" s="94"/>
      <c r="I154" s="94"/>
      <c r="J154" s="103"/>
      <c r="K154" s="103"/>
      <c r="L154" s="103"/>
      <c r="M154" s="103"/>
    </row>
    <row r="155" spans="3:13" ht="12.75">
      <c r="C155" s="94"/>
      <c r="D155" s="94"/>
      <c r="E155" s="94"/>
      <c r="F155" s="94"/>
      <c r="G155" s="94"/>
      <c r="H155" s="94"/>
      <c r="I155" s="94"/>
      <c r="J155" s="103"/>
      <c r="K155" s="103"/>
      <c r="L155" s="103"/>
      <c r="M155" s="103"/>
    </row>
    <row r="156" spans="3:13" ht="12.75">
      <c r="C156" s="94"/>
      <c r="D156" s="94"/>
      <c r="E156" s="94"/>
      <c r="F156" s="94"/>
      <c r="G156" s="94"/>
      <c r="H156" s="94"/>
      <c r="I156" s="94"/>
      <c r="J156" s="103"/>
      <c r="K156" s="103"/>
      <c r="L156" s="103"/>
      <c r="M156" s="103"/>
    </row>
    <row r="157" spans="3:13" ht="12.75">
      <c r="C157" s="94"/>
      <c r="D157" s="94"/>
      <c r="E157" s="94"/>
      <c r="F157" s="94"/>
      <c r="G157" s="94"/>
      <c r="H157" s="94"/>
      <c r="I157" s="94"/>
      <c r="J157" s="103"/>
      <c r="K157" s="103"/>
      <c r="L157" s="103"/>
      <c r="M157" s="103"/>
    </row>
    <row r="158" spans="3:13" ht="12.75">
      <c r="C158" s="94"/>
      <c r="D158" s="94"/>
      <c r="E158" s="94"/>
      <c r="F158" s="94"/>
      <c r="G158" s="94"/>
      <c r="H158" s="94"/>
      <c r="I158" s="94"/>
      <c r="J158" s="103"/>
      <c r="K158" s="103"/>
      <c r="L158" s="103"/>
      <c r="M158" s="103"/>
    </row>
    <row r="159" spans="3:13" ht="12.75">
      <c r="C159" s="94"/>
      <c r="D159" s="94"/>
      <c r="E159" s="94"/>
      <c r="F159" s="94"/>
      <c r="G159" s="94"/>
      <c r="H159" s="94"/>
      <c r="I159" s="94"/>
      <c r="J159" s="103"/>
      <c r="K159" s="103"/>
      <c r="L159" s="103"/>
      <c r="M159" s="103"/>
    </row>
    <row r="160" spans="3:13" ht="12.75">
      <c r="C160" s="94"/>
      <c r="D160" s="94"/>
      <c r="E160" s="94"/>
      <c r="F160" s="94"/>
      <c r="G160" s="94"/>
      <c r="H160" s="94"/>
      <c r="I160" s="94"/>
      <c r="J160" s="103"/>
      <c r="K160" s="103"/>
      <c r="L160" s="103"/>
      <c r="M160" s="103"/>
    </row>
    <row r="161" spans="3:13" ht="12.75">
      <c r="C161" s="94"/>
      <c r="D161" s="94"/>
      <c r="E161" s="94"/>
      <c r="F161" s="94"/>
      <c r="G161" s="94"/>
      <c r="H161" s="94"/>
      <c r="I161" s="94"/>
      <c r="J161" s="103"/>
      <c r="K161" s="103"/>
      <c r="L161" s="103"/>
      <c r="M161" s="103"/>
    </row>
    <row r="162" spans="3:13" ht="12.75">
      <c r="C162" s="94"/>
      <c r="D162" s="94"/>
      <c r="E162" s="94"/>
      <c r="F162" s="94"/>
      <c r="G162" s="94"/>
      <c r="H162" s="94"/>
      <c r="I162" s="94"/>
      <c r="J162" s="103"/>
      <c r="K162" s="103"/>
      <c r="L162" s="103"/>
      <c r="M162" s="103"/>
    </row>
    <row r="163" spans="3:13" ht="12.75">
      <c r="C163" s="94"/>
      <c r="D163" s="94"/>
      <c r="E163" s="94"/>
      <c r="F163" s="94"/>
      <c r="G163" s="94"/>
      <c r="H163" s="94"/>
      <c r="I163" s="94"/>
      <c r="J163" s="103"/>
      <c r="K163" s="103"/>
      <c r="L163" s="103"/>
      <c r="M163" s="103"/>
    </row>
    <row r="164" spans="3:13" ht="12.75"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3:19" ht="12.75"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S165" s="108" t="s">
        <v>137</v>
      </c>
    </row>
    <row r="166" spans="1:21" ht="12.75">
      <c r="A166" s="71">
        <v>2014</v>
      </c>
      <c r="B166" s="108" t="s">
        <v>31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6" t="s">
        <v>138</v>
      </c>
      <c r="U166" s="26" t="s">
        <v>139</v>
      </c>
    </row>
    <row r="167" spans="3:13" ht="12.75"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7"/>
    </row>
    <row r="168" spans="1:23" ht="12.75">
      <c r="A168" s="2"/>
      <c r="B168" s="2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4"/>
      <c r="O168" s="114"/>
      <c r="P168" s="106"/>
      <c r="Q168" s="115"/>
      <c r="R168" s="114" t="s">
        <v>111</v>
      </c>
      <c r="S168" s="114"/>
      <c r="T168" s="114"/>
      <c r="U168" s="114"/>
      <c r="V168" s="28"/>
      <c r="W168" s="2"/>
    </row>
    <row r="169" spans="1:23" ht="12.75">
      <c r="A169" s="5" t="s">
        <v>1</v>
      </c>
      <c r="B169" s="6" t="s">
        <v>2</v>
      </c>
      <c r="C169" s="99" t="s">
        <v>3</v>
      </c>
      <c r="D169" s="99" t="s">
        <v>4</v>
      </c>
      <c r="E169" s="99" t="s">
        <v>5</v>
      </c>
      <c r="F169" s="99" t="s">
        <v>6</v>
      </c>
      <c r="G169" s="99" t="s">
        <v>7</v>
      </c>
      <c r="H169" s="99" t="s">
        <v>8</v>
      </c>
      <c r="I169" s="99" t="s">
        <v>9</v>
      </c>
      <c r="J169" s="99" t="s">
        <v>10</v>
      </c>
      <c r="K169" s="99" t="s">
        <v>11</v>
      </c>
      <c r="L169" s="99" t="s">
        <v>12</v>
      </c>
      <c r="M169" s="100" t="s">
        <v>13</v>
      </c>
      <c r="N169" s="8" t="s">
        <v>14</v>
      </c>
      <c r="O169" s="71" t="s">
        <v>71</v>
      </c>
      <c r="P169" s="72" t="s">
        <v>72</v>
      </c>
      <c r="Q169" s="116"/>
      <c r="R169" s="117" t="s">
        <v>112</v>
      </c>
      <c r="S169" s="117" t="s">
        <v>113</v>
      </c>
      <c r="T169" s="117" t="s">
        <v>114</v>
      </c>
      <c r="U169" s="118" t="s">
        <v>115</v>
      </c>
      <c r="V169" s="119"/>
      <c r="W169" s="5" t="s">
        <v>1</v>
      </c>
    </row>
    <row r="170" spans="1:23" ht="12.75">
      <c r="A170" s="9"/>
      <c r="B170" s="1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101"/>
      <c r="N170" s="12"/>
      <c r="O170" s="120"/>
      <c r="P170" s="105" t="s">
        <v>73</v>
      </c>
      <c r="Q170" s="121"/>
      <c r="R170" s="10"/>
      <c r="S170" s="10" t="s">
        <v>116</v>
      </c>
      <c r="T170" s="10" t="s">
        <v>117</v>
      </c>
      <c r="U170" s="122" t="s">
        <v>118</v>
      </c>
      <c r="V170" s="123" t="s">
        <v>119</v>
      </c>
      <c r="W170" s="9"/>
    </row>
    <row r="171" spans="1:23" ht="12.75">
      <c r="A171" s="5"/>
      <c r="B171" s="13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7"/>
      <c r="N171" s="15"/>
      <c r="O171" s="74"/>
      <c r="P171" s="49"/>
      <c r="Q171" s="78"/>
      <c r="R171" s="13"/>
      <c r="S171" s="13"/>
      <c r="T171" s="13"/>
      <c r="U171" s="124"/>
      <c r="V171" s="31"/>
      <c r="W171" s="5"/>
    </row>
    <row r="172" spans="1:23" ht="12.75">
      <c r="A172" s="5" t="s">
        <v>32</v>
      </c>
      <c r="B172" s="16"/>
      <c r="C172" s="83"/>
      <c r="D172" s="83"/>
      <c r="E172" s="83"/>
      <c r="F172" s="83">
        <v>360</v>
      </c>
      <c r="G172" s="83"/>
      <c r="H172" s="83">
        <f>369+61.5</f>
        <v>430.5</v>
      </c>
      <c r="I172" s="83"/>
      <c r="J172" s="83"/>
      <c r="K172" s="83"/>
      <c r="L172" s="83"/>
      <c r="M172" s="85"/>
      <c r="N172" s="18">
        <f>SUM(B172:M172)</f>
        <v>790.5</v>
      </c>
      <c r="O172" s="76">
        <f>N172/$N$199</f>
        <v>0.0077650314260300935</v>
      </c>
      <c r="P172" s="52">
        <f>N172/10657.4/12</f>
        <v>0.006181151125039878</v>
      </c>
      <c r="Q172" s="78"/>
      <c r="R172" s="125">
        <f>($R$200/$N$199)*N172</f>
        <v>80.99455799486356</v>
      </c>
      <c r="S172" s="125">
        <f>$S$200/($N$199)*N172</f>
        <v>25.364086901556</v>
      </c>
      <c r="T172" s="125">
        <f>$T$200/($N$199-$N$186-$N$188)*N172</f>
        <v>485.4526676348903</v>
      </c>
      <c r="U172" s="124">
        <f>N172-R172-S172-T172</f>
        <v>198.6886874686902</v>
      </c>
      <c r="V172" s="126">
        <f>U172/12</f>
        <v>16.55739062239085</v>
      </c>
      <c r="W172" s="5" t="s">
        <v>32</v>
      </c>
    </row>
    <row r="173" spans="1:23" ht="12.75">
      <c r="A173" s="5"/>
      <c r="B173" s="16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5"/>
      <c r="N173" s="18"/>
      <c r="O173" s="78"/>
      <c r="P173" s="52"/>
      <c r="Q173" s="78"/>
      <c r="R173" s="125"/>
      <c r="S173" s="125"/>
      <c r="T173" s="125"/>
      <c r="U173" s="124"/>
      <c r="V173" s="126"/>
      <c r="W173" s="19" t="s">
        <v>85</v>
      </c>
    </row>
    <row r="174" spans="1:23" ht="12.75">
      <c r="A174" s="5" t="s">
        <v>36</v>
      </c>
      <c r="B174" s="16"/>
      <c r="C174" s="83"/>
      <c r="D174" s="83"/>
      <c r="E174" s="83"/>
      <c r="F174" s="83"/>
      <c r="G174" s="83"/>
      <c r="H174" s="83"/>
      <c r="I174" s="83"/>
      <c r="J174" s="83"/>
      <c r="K174" s="83"/>
      <c r="L174" s="83">
        <v>154</v>
      </c>
      <c r="M174" s="85"/>
      <c r="N174" s="18">
        <f>SUM(B174:M174)</f>
        <v>154</v>
      </c>
      <c r="O174" s="76">
        <f>N174/$N$199</f>
        <v>0.0015127322449192085</v>
      </c>
      <c r="P174" s="52">
        <f>N174/10657.4/12</f>
        <v>0.0012041711236636828</v>
      </c>
      <c r="Q174" s="78"/>
      <c r="R174" s="125">
        <f>($R$200/$N$199)*N174</f>
        <v>15.778825972433888</v>
      </c>
      <c r="S174" s="125">
        <f>$S$200/($N$199)*N174</f>
        <v>4.941264241416349</v>
      </c>
      <c r="T174" s="125">
        <f>$T$200/($N$199-$N$186-$N$188)*N174</f>
        <v>94.57268920401405</v>
      </c>
      <c r="U174" s="124">
        <f>N174-R174-S174-T174</f>
        <v>38.70722058213572</v>
      </c>
      <c r="V174" s="126">
        <f>U174/12</f>
        <v>3.2256017151779766</v>
      </c>
      <c r="W174" s="5" t="s">
        <v>36</v>
      </c>
    </row>
    <row r="175" spans="1:23" ht="12.75">
      <c r="A175" s="5"/>
      <c r="B175" s="16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5"/>
      <c r="N175" s="18"/>
      <c r="O175" s="78"/>
      <c r="P175" s="52"/>
      <c r="Q175" s="78"/>
      <c r="R175" s="125"/>
      <c r="S175" s="125"/>
      <c r="T175" s="125"/>
      <c r="U175" s="124"/>
      <c r="V175" s="126"/>
      <c r="W175" s="5"/>
    </row>
    <row r="176" spans="1:23" ht="12.75">
      <c r="A176" s="5" t="s">
        <v>16</v>
      </c>
      <c r="B176" s="16">
        <v>148.46</v>
      </c>
      <c r="C176" s="83"/>
      <c r="D176" s="83">
        <v>143.06</v>
      </c>
      <c r="E176" s="83"/>
      <c r="F176" s="83">
        <v>174.8</v>
      </c>
      <c r="G176" s="83"/>
      <c r="H176" s="83">
        <v>203.77</v>
      </c>
      <c r="I176" s="83"/>
      <c r="J176" s="83">
        <v>139.46</v>
      </c>
      <c r="K176" s="83"/>
      <c r="L176" s="83">
        <v>169.05</v>
      </c>
      <c r="M176" s="85"/>
      <c r="N176" s="18">
        <f>SUM(B176:M176)</f>
        <v>978.6000000000001</v>
      </c>
      <c r="O176" s="76">
        <f>N176/$N$199</f>
        <v>0.009612725810895699</v>
      </c>
      <c r="P176" s="52">
        <f>N176/10657.4/12</f>
        <v>0.0076519601403719495</v>
      </c>
      <c r="Q176" s="78"/>
      <c r="R176" s="125">
        <f>($R$200/$N$199)*N176</f>
        <v>100.26726686119353</v>
      </c>
      <c r="S176" s="125">
        <f>$S$200/($N$199)*N176</f>
        <v>31.39948822500026</v>
      </c>
      <c r="T176" s="125">
        <f>$T$200/($N$199-$N$186-$N$188)*N176</f>
        <v>600.9664523055076</v>
      </c>
      <c r="U176" s="124">
        <f>N176-R176-S176-T176</f>
        <v>245.96679260829876</v>
      </c>
      <c r="V176" s="126">
        <f>U176/12</f>
        <v>20.49723271735823</v>
      </c>
      <c r="W176" s="5" t="s">
        <v>16</v>
      </c>
    </row>
    <row r="177" spans="1:23" ht="12.75">
      <c r="A177" s="5"/>
      <c r="B177" s="16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5"/>
      <c r="N177" s="18"/>
      <c r="O177" s="78"/>
      <c r="P177" s="52"/>
      <c r="Q177" s="78"/>
      <c r="R177" s="125"/>
      <c r="S177" s="125"/>
      <c r="T177" s="125"/>
      <c r="U177" s="124"/>
      <c r="V177" s="126"/>
      <c r="W177" s="5"/>
    </row>
    <row r="178" spans="1:23" ht="12.75">
      <c r="A178" s="5" t="s">
        <v>86</v>
      </c>
      <c r="B178" s="16"/>
      <c r="C178" s="83"/>
      <c r="D178" s="83"/>
      <c r="E178" s="83"/>
      <c r="F178" s="83"/>
      <c r="G178" s="83"/>
      <c r="H178" s="83"/>
      <c r="I178" s="83">
        <v>1251.8</v>
      </c>
      <c r="J178" s="83"/>
      <c r="K178" s="83"/>
      <c r="L178" s="83"/>
      <c r="M178" s="85"/>
      <c r="N178" s="18">
        <f>SUM(B178:M178)</f>
        <v>1251.8</v>
      </c>
      <c r="O178" s="76">
        <f>N178/$N$199</f>
        <v>0.012296352105128994</v>
      </c>
      <c r="P178" s="52">
        <f>N178/10657.4/12</f>
        <v>0.009788190990923365</v>
      </c>
      <c r="Q178" s="78"/>
      <c r="R178" s="125">
        <f>($R$200/$N$199)*N178</f>
        <v>128.2593139759269</v>
      </c>
      <c r="S178" s="125">
        <f>$S$200/($N$199)*N178</f>
        <v>40.1654193337986</v>
      </c>
      <c r="T178" s="125">
        <f>$T$200/($N$199-$N$186-$N$188)*N178</f>
        <v>768.7408593869142</v>
      </c>
      <c r="U178" s="124">
        <f>N178-R178-S178-T178</f>
        <v>314.63440730336026</v>
      </c>
      <c r="V178" s="126">
        <f>U178/12</f>
        <v>26.21953394194669</v>
      </c>
      <c r="W178" s="5" t="s">
        <v>86</v>
      </c>
    </row>
    <row r="179" spans="1:23" ht="12.75">
      <c r="A179" s="5"/>
      <c r="B179" s="16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5"/>
      <c r="N179" s="18"/>
      <c r="O179" s="78"/>
      <c r="P179" s="52"/>
      <c r="Q179" s="78"/>
      <c r="R179" s="125"/>
      <c r="S179" s="125"/>
      <c r="T179" s="125"/>
      <c r="U179" s="124"/>
      <c r="V179" s="126"/>
      <c r="W179" s="5"/>
    </row>
    <row r="180" spans="1:23" ht="12.75">
      <c r="A180" s="5" t="s">
        <v>37</v>
      </c>
      <c r="B180" s="16">
        <v>483.01</v>
      </c>
      <c r="C180" s="83">
        <v>184.12</v>
      </c>
      <c r="D180" s="83">
        <v>835.33</v>
      </c>
      <c r="E180" s="83">
        <f>79.9+99.99+106.17</f>
        <v>286.06</v>
      </c>
      <c r="F180" s="83">
        <f>55.51+121.77</f>
        <v>177.28</v>
      </c>
      <c r="G180" s="83">
        <f>179.42+549</f>
        <v>728.42</v>
      </c>
      <c r="H180" s="83">
        <f>12.99</f>
        <v>12.99</v>
      </c>
      <c r="I180" s="83">
        <v>210.15</v>
      </c>
      <c r="J180" s="83">
        <v>433.69</v>
      </c>
      <c r="K180" s="83">
        <v>90.36</v>
      </c>
      <c r="L180" s="83">
        <f>203.2+55.04</f>
        <v>258.24</v>
      </c>
      <c r="M180" s="85">
        <f>35.39+13.16+24.6</f>
        <v>73.15</v>
      </c>
      <c r="N180" s="18">
        <f>SUM(B180:M180)</f>
        <v>3772.8</v>
      </c>
      <c r="O180" s="76">
        <f>N180/$N$199</f>
        <v>0.03705997541318955</v>
      </c>
      <c r="P180" s="52">
        <f>N180/10657.4/12</f>
        <v>0.02950062867115807</v>
      </c>
      <c r="Q180" s="78"/>
      <c r="R180" s="125">
        <f>($R$200/$N$199)*N180</f>
        <v>386.56074434284784</v>
      </c>
      <c r="S180" s="125">
        <f>$S$200/($N$199)*N180</f>
        <v>121.054556688413</v>
      </c>
      <c r="T180" s="125">
        <f>$T$200/($N$199-$N$186-$N$188)*N180</f>
        <v>2316.9080638240534</v>
      </c>
      <c r="U180" s="124">
        <f>N180-R180-S180-T180</f>
        <v>948.2766351446858</v>
      </c>
      <c r="V180" s="126">
        <f>U180/12</f>
        <v>79.02305292872381</v>
      </c>
      <c r="W180" s="5" t="s">
        <v>37</v>
      </c>
    </row>
    <row r="181" spans="1:23" ht="12.75">
      <c r="A181" s="5"/>
      <c r="B181" s="16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5"/>
      <c r="N181" s="18"/>
      <c r="O181" s="78"/>
      <c r="P181" s="52"/>
      <c r="Q181" s="78"/>
      <c r="R181" s="125"/>
      <c r="S181" s="125"/>
      <c r="T181" s="125"/>
      <c r="U181" s="124"/>
      <c r="V181" s="126"/>
      <c r="W181" s="5"/>
    </row>
    <row r="182" spans="1:23" ht="12.75">
      <c r="A182" s="5" t="s">
        <v>74</v>
      </c>
      <c r="B182" s="16">
        <v>396.94</v>
      </c>
      <c r="C182" s="83">
        <v>398.4</v>
      </c>
      <c r="D182" s="83">
        <v>394.92</v>
      </c>
      <c r="E182" s="83">
        <f>163.87+55.04+232.59</f>
        <v>451.5</v>
      </c>
      <c r="F182" s="83">
        <f>226.44+55.04+154.38</f>
        <v>435.86</v>
      </c>
      <c r="G182" s="83">
        <f>148.92+55.04+201.84</f>
        <v>405.79999999999995</v>
      </c>
      <c r="H182" s="83">
        <f>147.71+55.04+203.07</f>
        <v>405.82</v>
      </c>
      <c r="I182" s="83">
        <v>409.27</v>
      </c>
      <c r="J182" s="83">
        <v>406.17</v>
      </c>
      <c r="K182" s="83">
        <f>147.6+44.94+205.21</f>
        <v>397.75</v>
      </c>
      <c r="L182" s="83">
        <f>148.94+44.94+201.84</f>
        <v>395.72</v>
      </c>
      <c r="M182" s="83">
        <f>147.76+44.94+203.52</f>
        <v>396.22</v>
      </c>
      <c r="N182" s="18">
        <f>SUM(B182:M182)</f>
        <v>4894.37</v>
      </c>
      <c r="O182" s="76">
        <f>N182/$N$199</f>
        <v>0.048077086477696276</v>
      </c>
      <c r="P182" s="52">
        <f>N182/10657.4/12</f>
        <v>0.03827051313328454</v>
      </c>
      <c r="Q182" s="78"/>
      <c r="R182" s="125">
        <f>($R$200/$N$199)*N182</f>
        <v>501.4767043811769</v>
      </c>
      <c r="S182" s="125">
        <f>$S$200/($N$199)*N182</f>
        <v>157.041399125071</v>
      </c>
      <c r="T182" s="125">
        <f>$T$200/($N$199-$N$186-$N$188)*N182</f>
        <v>3005.67358999643</v>
      </c>
      <c r="U182" s="124">
        <f>N182-R182-S182-T182</f>
        <v>1230.178306497322</v>
      </c>
      <c r="V182" s="126">
        <f>U182/12</f>
        <v>102.51485887477683</v>
      </c>
      <c r="W182" s="5" t="s">
        <v>74</v>
      </c>
    </row>
    <row r="183" spans="1:23" ht="12.75">
      <c r="A183" s="5"/>
      <c r="B183" s="16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5"/>
      <c r="N183" s="18"/>
      <c r="O183" s="78"/>
      <c r="P183" s="52"/>
      <c r="Q183" s="78"/>
      <c r="R183" s="125"/>
      <c r="S183" s="125"/>
      <c r="T183" s="125"/>
      <c r="U183" s="124"/>
      <c r="V183" s="126"/>
      <c r="W183" s="5"/>
    </row>
    <row r="184" spans="1:23" ht="12.75">
      <c r="A184" s="5" t="s">
        <v>39</v>
      </c>
      <c r="B184" s="16">
        <v>89.75</v>
      </c>
      <c r="C184" s="83">
        <v>4.2</v>
      </c>
      <c r="D184" s="83"/>
      <c r="E184" s="83"/>
      <c r="F184" s="83">
        <f>3.8</f>
        <v>3.8</v>
      </c>
      <c r="G184" s="83">
        <f>9.5+80</f>
        <v>89.5</v>
      </c>
      <c r="H184" s="83">
        <f>21.15</f>
        <v>21.15</v>
      </c>
      <c r="I184" s="83">
        <v>9.5</v>
      </c>
      <c r="J184" s="83">
        <v>9.5</v>
      </c>
      <c r="K184" s="83"/>
      <c r="L184" s="83">
        <f>80</f>
        <v>80</v>
      </c>
      <c r="M184" s="85">
        <v>9.2</v>
      </c>
      <c r="N184" s="18">
        <f>SUM(B184:M184)</f>
        <v>316.6</v>
      </c>
      <c r="O184" s="76">
        <f>N184/$N$199</f>
        <v>0.0031099417450741653</v>
      </c>
      <c r="P184" s="52">
        <f>N184/10657.4/12</f>
        <v>0.0024755881672202727</v>
      </c>
      <c r="Q184" s="78"/>
      <c r="R184" s="125">
        <f>($R$200/$N$199)*N184</f>
        <v>32.43880716151019</v>
      </c>
      <c r="S184" s="125">
        <f>$S$200/($N$199)*N184</f>
        <v>10.158469213197508</v>
      </c>
      <c r="T184" s="125">
        <f>$T$200/($N$199-$N$186-$N$188)*N184</f>
        <v>194.426710402538</v>
      </c>
      <c r="U184" s="124">
        <f>N184-R184-S184-T184</f>
        <v>79.57601322275434</v>
      </c>
      <c r="V184" s="126">
        <f>U184/12</f>
        <v>6.631334435229529</v>
      </c>
      <c r="W184" s="5" t="s">
        <v>39</v>
      </c>
    </row>
    <row r="185" spans="1:23" ht="12.75">
      <c r="A185" s="5"/>
      <c r="B185" s="16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5"/>
      <c r="N185" s="18"/>
      <c r="O185" s="78"/>
      <c r="P185" s="52"/>
      <c r="Q185" s="78"/>
      <c r="R185" s="125"/>
      <c r="S185" s="125"/>
      <c r="T185" s="125"/>
      <c r="U185" s="124"/>
      <c r="V185" s="126"/>
      <c r="W185" s="5"/>
    </row>
    <row r="186" spans="1:23" ht="12.75">
      <c r="A186" s="5" t="s">
        <v>40</v>
      </c>
      <c r="B186" s="16">
        <v>5456.43</v>
      </c>
      <c r="C186" s="83">
        <v>5456.43</v>
      </c>
      <c r="D186" s="83">
        <v>5456.43</v>
      </c>
      <c r="E186" s="83">
        <v>5456.43</v>
      </c>
      <c r="F186" s="83">
        <v>5740.8</v>
      </c>
      <c r="G186" s="83">
        <v>5677.67</v>
      </c>
      <c r="H186" s="83">
        <v>5740.8</v>
      </c>
      <c r="I186" s="83">
        <v>5740.8</v>
      </c>
      <c r="J186" s="83">
        <v>5740.8</v>
      </c>
      <c r="K186" s="83">
        <v>5646.11</v>
      </c>
      <c r="L186" s="83">
        <v>5740.8</v>
      </c>
      <c r="M186" s="83">
        <v>5740.8</v>
      </c>
      <c r="N186" s="18">
        <f>SUM(B186:M186)</f>
        <v>67594.30000000002</v>
      </c>
      <c r="O186" s="76">
        <f>N186/$N$199</f>
        <v>0.6639745271606655</v>
      </c>
      <c r="P186" s="52">
        <f>N186/10657.4/12</f>
        <v>0.5285396375601304</v>
      </c>
      <c r="Q186" s="78"/>
      <c r="R186" s="125">
        <f>($R$200/$N$199)*N186</f>
        <v>6925.705820964209</v>
      </c>
      <c r="S186" s="125">
        <f>$S$200/($N$199)*N186</f>
        <v>2168.8395942439556</v>
      </c>
      <c r="T186" s="125">
        <v>0</v>
      </c>
      <c r="U186" s="124">
        <f>N186-R186-S186-T186</f>
        <v>58499.75458479185</v>
      </c>
      <c r="V186" s="126">
        <f>U186/12</f>
        <v>4874.979548732655</v>
      </c>
      <c r="W186" s="5" t="s">
        <v>40</v>
      </c>
    </row>
    <row r="187" spans="1:23" ht="12.75">
      <c r="A187" s="5"/>
      <c r="B187" s="16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5"/>
      <c r="N187" s="18"/>
      <c r="O187" s="78"/>
      <c r="P187" s="52"/>
      <c r="Q187" s="78"/>
      <c r="R187" s="125"/>
      <c r="S187" s="125"/>
      <c r="T187" s="125"/>
      <c r="U187" s="124"/>
      <c r="V187" s="126"/>
      <c r="W187" s="5"/>
    </row>
    <row r="188" spans="1:23" ht="12.75">
      <c r="A188" s="5" t="s">
        <v>41</v>
      </c>
      <c r="B188" s="16">
        <v>1190.64</v>
      </c>
      <c r="C188" s="83">
        <v>1131.67</v>
      </c>
      <c r="D188" s="83">
        <v>1131.67</v>
      </c>
      <c r="E188" s="83">
        <v>1136.92</v>
      </c>
      <c r="F188" s="83">
        <v>1190.64</v>
      </c>
      <c r="G188" s="83">
        <v>1190.64</v>
      </c>
      <c r="H188" s="83">
        <f>1007.51+1500</f>
        <v>2507.51</v>
      </c>
      <c r="I188" s="83">
        <v>1190.64</v>
      </c>
      <c r="J188" s="83">
        <v>1190.64</v>
      </c>
      <c r="K188" s="83">
        <v>1190.64</v>
      </c>
      <c r="L188" s="83">
        <v>921.33</v>
      </c>
      <c r="M188" s="83">
        <f>1190.64+750</f>
        <v>1940.64</v>
      </c>
      <c r="N188" s="18">
        <f>SUM(B188:M188)</f>
        <v>15913.579999999998</v>
      </c>
      <c r="O188" s="76">
        <f>N188/$N$199</f>
        <v>0.15631808829935984</v>
      </c>
      <c r="P188" s="52">
        <f>N188/10657.4/12</f>
        <v>0.12443294487085654</v>
      </c>
      <c r="Q188" s="78"/>
      <c r="R188" s="125">
        <f>($R$200/$N$199)*N188</f>
        <v>1630.5039572623664</v>
      </c>
      <c r="S188" s="125">
        <f>$S$200/($N$199)*N188</f>
        <v>510.60521952544394</v>
      </c>
      <c r="T188" s="125">
        <v>0</v>
      </c>
      <c r="U188" s="124">
        <f>N188-R188-S188-T188</f>
        <v>13772.470823212188</v>
      </c>
      <c r="V188" s="126">
        <f>U188/12</f>
        <v>1147.705901934349</v>
      </c>
      <c r="W188" s="5" t="s">
        <v>41</v>
      </c>
    </row>
    <row r="189" spans="1:23" ht="12.75">
      <c r="A189" s="5"/>
      <c r="B189" s="16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5"/>
      <c r="N189" s="18"/>
      <c r="O189" s="78"/>
      <c r="P189" s="52"/>
      <c r="Q189" s="78"/>
      <c r="R189" s="125"/>
      <c r="S189" s="125"/>
      <c r="T189" s="125"/>
      <c r="U189" s="124"/>
      <c r="V189" s="126"/>
      <c r="W189" s="5"/>
    </row>
    <row r="190" spans="1:23" ht="12.75">
      <c r="A190" s="5" t="s">
        <v>42</v>
      </c>
      <c r="B190" s="16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5"/>
      <c r="N190" s="18">
        <f>SUM(B190:M190)</f>
        <v>0</v>
      </c>
      <c r="O190" s="76">
        <f>N190/$N$199</f>
        <v>0</v>
      </c>
      <c r="P190" s="52">
        <f>N190/10657.4/12</f>
        <v>0</v>
      </c>
      <c r="Q190" s="78"/>
      <c r="R190" s="125">
        <f>($R$200/$N$199)*N190</f>
        <v>0</v>
      </c>
      <c r="S190" s="125">
        <f>$S$200/($N$199)*N190</f>
        <v>0</v>
      </c>
      <c r="T190" s="125">
        <f>$T$200/($N$199-$N$186-$N$188)*N190</f>
        <v>0</v>
      </c>
      <c r="U190" s="124">
        <f>N190-R190-S190-T190</f>
        <v>0</v>
      </c>
      <c r="V190" s="126">
        <f>U190/12</f>
        <v>0</v>
      </c>
      <c r="W190" s="5" t="s">
        <v>42</v>
      </c>
    </row>
    <row r="191" spans="1:23" ht="12.75">
      <c r="A191" s="5"/>
      <c r="B191" s="16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5"/>
      <c r="N191" s="18"/>
      <c r="O191" s="78"/>
      <c r="P191" s="52"/>
      <c r="Q191" s="78"/>
      <c r="R191" s="125"/>
      <c r="S191" s="125"/>
      <c r="T191" s="125"/>
      <c r="U191" s="124"/>
      <c r="V191" s="126"/>
      <c r="W191" s="5"/>
    </row>
    <row r="192" spans="1:23" ht="12.75">
      <c r="A192" s="5" t="s">
        <v>23</v>
      </c>
      <c r="B192" s="16">
        <f>469+195</f>
        <v>664</v>
      </c>
      <c r="C192" s="83">
        <v>195</v>
      </c>
      <c r="D192" s="83">
        <v>195</v>
      </c>
      <c r="E192" s="83">
        <f>458+195</f>
        <v>653</v>
      </c>
      <c r="F192" s="83">
        <v>195</v>
      </c>
      <c r="G192" s="83">
        <v>195</v>
      </c>
      <c r="H192" s="83">
        <f>469+195</f>
        <v>664</v>
      </c>
      <c r="I192" s="83">
        <f>570+195</f>
        <v>765</v>
      </c>
      <c r="J192" s="83">
        <v>195</v>
      </c>
      <c r="K192" s="83">
        <f>469+195</f>
        <v>664</v>
      </c>
      <c r="L192" s="83">
        <v>195</v>
      </c>
      <c r="M192" s="85">
        <v>195</v>
      </c>
      <c r="N192" s="18">
        <f>SUM(B192:M192)</f>
        <v>4775</v>
      </c>
      <c r="O192" s="76">
        <f>N192/$N$199</f>
        <v>0.04690452252915078</v>
      </c>
      <c r="P192" s="52">
        <f>N192/10657.4/12</f>
        <v>0.03733712412658497</v>
      </c>
      <c r="Q192" s="78"/>
      <c r="R192" s="125">
        <f>($R$200/$N$199)*N192</f>
        <v>489.2460650543624</v>
      </c>
      <c r="S192" s="125">
        <f>$S$200/($N$199)*N192</f>
        <v>153.21127761534459</v>
      </c>
      <c r="T192" s="125">
        <f>$T$200/($N$199-$N$186-$N$188)*N192</f>
        <v>2932.36747369589</v>
      </c>
      <c r="U192" s="124">
        <f>N192-R192-S192-T192</f>
        <v>1200.1751836344029</v>
      </c>
      <c r="V192" s="126">
        <f>U192/12</f>
        <v>100.01459863620023</v>
      </c>
      <c r="W192" s="5" t="s">
        <v>23</v>
      </c>
    </row>
    <row r="193" spans="1:23" ht="12.75">
      <c r="A193" s="5"/>
      <c r="B193" s="16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5"/>
      <c r="N193" s="18"/>
      <c r="O193" s="76"/>
      <c r="P193" s="52"/>
      <c r="Q193" s="78"/>
      <c r="R193" s="125"/>
      <c r="S193" s="125"/>
      <c r="T193" s="125"/>
      <c r="U193" s="124"/>
      <c r="V193" s="126"/>
      <c r="W193" s="5"/>
    </row>
    <row r="194" spans="1:23" ht="12.75">
      <c r="A194" s="5" t="s">
        <v>140</v>
      </c>
      <c r="B194" s="16"/>
      <c r="C194" s="83"/>
      <c r="D194" s="83"/>
      <c r="E194" s="83"/>
      <c r="F194" s="83"/>
      <c r="G194" s="83"/>
      <c r="H194" s="83">
        <v>250</v>
      </c>
      <c r="I194" s="83"/>
      <c r="J194" s="83">
        <v>250</v>
      </c>
      <c r="K194" s="83"/>
      <c r="L194" s="83"/>
      <c r="M194" s="85"/>
      <c r="N194" s="18">
        <f>SUM(B194:M194)</f>
        <v>500</v>
      </c>
      <c r="O194" s="76">
        <f>N194/$N$199</f>
        <v>0.004911468327659768</v>
      </c>
      <c r="P194" s="52">
        <f>N194/10657.4/12</f>
        <v>0.003909646505401568</v>
      </c>
      <c r="Q194" s="78"/>
      <c r="R194" s="125">
        <f>($R$200/$N$199)*N194</f>
        <v>51.22995445595418</v>
      </c>
      <c r="S194" s="125">
        <f>$S$200/($N$199)*N194</f>
        <v>16.04306571888425</v>
      </c>
      <c r="T194" s="125">
        <f>$T$200/($N$199-$N$186-$N$188)*N194</f>
        <v>307.0541857273183</v>
      </c>
      <c r="U194" s="124">
        <f>N194-R194-S194-T194</f>
        <v>125.67279409784328</v>
      </c>
      <c r="V194" s="126">
        <f>U194/12</f>
        <v>10.47273284148694</v>
      </c>
      <c r="W194" s="5" t="s">
        <v>87</v>
      </c>
    </row>
    <row r="195" spans="1:23" ht="12.75">
      <c r="A195" s="5"/>
      <c r="B195" s="16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5"/>
      <c r="N195" s="18"/>
      <c r="O195" s="78"/>
      <c r="P195" s="52"/>
      <c r="Q195" s="78"/>
      <c r="R195" s="125"/>
      <c r="S195" s="125"/>
      <c r="T195" s="125"/>
      <c r="U195" s="124"/>
      <c r="V195" s="126"/>
      <c r="W195" s="5"/>
    </row>
    <row r="196" spans="1:23" ht="12.75">
      <c r="A196" s="5" t="s">
        <v>43</v>
      </c>
      <c r="B196" s="16">
        <v>72</v>
      </c>
      <c r="C196" s="83">
        <v>72</v>
      </c>
      <c r="D196" s="83">
        <v>72</v>
      </c>
      <c r="E196" s="83">
        <v>72</v>
      </c>
      <c r="F196" s="83">
        <v>72</v>
      </c>
      <c r="G196" s="83">
        <v>72</v>
      </c>
      <c r="H196" s="83">
        <v>72</v>
      </c>
      <c r="I196" s="83">
        <v>72</v>
      </c>
      <c r="J196" s="83">
        <v>72</v>
      </c>
      <c r="K196" s="83">
        <v>72</v>
      </c>
      <c r="L196" s="83">
        <v>72</v>
      </c>
      <c r="M196" s="85">
        <v>69</v>
      </c>
      <c r="N196" s="18">
        <f>SUM(B196:M196)</f>
        <v>861</v>
      </c>
      <c r="O196" s="76">
        <f>N196/$N$199</f>
        <v>0.00845754846023012</v>
      </c>
      <c r="P196" s="52">
        <f>N196/10657.4/12</f>
        <v>0.0067324112823015</v>
      </c>
      <c r="Q196" s="78"/>
      <c r="R196" s="125">
        <f>($R$200/$N$199)*N196</f>
        <v>88.2179815731531</v>
      </c>
      <c r="S196" s="125">
        <f>$S$200/($N$199)*N196</f>
        <v>27.62615916791868</v>
      </c>
      <c r="T196" s="125">
        <f>$T$200/($N$199-$N$186-$N$188)*N196</f>
        <v>528.7473078224422</v>
      </c>
      <c r="U196" s="124">
        <f>N196-R196-S196-T196</f>
        <v>216.40855143648605</v>
      </c>
      <c r="V196" s="126">
        <f>U196/12</f>
        <v>18.034045953040504</v>
      </c>
      <c r="W196" s="5" t="s">
        <v>43</v>
      </c>
    </row>
    <row r="197" spans="1:23" ht="12.75">
      <c r="A197" s="5"/>
      <c r="B197" s="13"/>
      <c r="C197" s="13"/>
      <c r="D197" s="86"/>
      <c r="E197" s="86"/>
      <c r="F197" s="86"/>
      <c r="G197" s="86"/>
      <c r="H197" s="86"/>
      <c r="I197" s="86"/>
      <c r="J197" s="86"/>
      <c r="K197" s="86"/>
      <c r="L197" s="86"/>
      <c r="M197" s="87"/>
      <c r="N197" s="15"/>
      <c r="O197" s="79"/>
      <c r="P197" s="54"/>
      <c r="Q197" s="78"/>
      <c r="R197" s="125"/>
      <c r="S197" s="125"/>
      <c r="T197" s="125"/>
      <c r="U197" s="77"/>
      <c r="V197" s="31"/>
      <c r="W197" s="5"/>
    </row>
    <row r="198" spans="1:23" ht="12.75">
      <c r="A198" s="20"/>
      <c r="B198" s="2"/>
      <c r="C198" s="2"/>
      <c r="D198" s="88"/>
      <c r="E198" s="88"/>
      <c r="F198" s="88"/>
      <c r="G198" s="88"/>
      <c r="H198" s="88"/>
      <c r="I198" s="88"/>
      <c r="J198" s="88"/>
      <c r="K198" s="88"/>
      <c r="L198" s="88"/>
      <c r="M198" s="89"/>
      <c r="N198" s="4"/>
      <c r="O198" s="74"/>
      <c r="P198" s="75"/>
      <c r="Q198" s="74"/>
      <c r="R198" s="127"/>
      <c r="S198" s="127"/>
      <c r="T198" s="127"/>
      <c r="U198" s="75"/>
      <c r="V198" s="28"/>
      <c r="W198" s="28"/>
    </row>
    <row r="199" spans="1:23" ht="12.75">
      <c r="A199" s="22"/>
      <c r="B199" s="16">
        <f>SUM(B172:B196)</f>
        <v>8501.23</v>
      </c>
      <c r="C199" s="16">
        <f>SUM(C172:C196)</f>
        <v>7441.820000000001</v>
      </c>
      <c r="D199" s="83">
        <f>SUM(D172:D196)</f>
        <v>8228.41</v>
      </c>
      <c r="E199" s="83">
        <f>SUM(E172:E196)</f>
        <v>8055.910000000001</v>
      </c>
      <c r="F199" s="83">
        <f>SUM(F172:F196)</f>
        <v>8350.18</v>
      </c>
      <c r="G199" s="83">
        <f>SUM(G172:G196)</f>
        <v>8359.03</v>
      </c>
      <c r="H199" s="83">
        <f>SUM(H172:H196)</f>
        <v>10308.54</v>
      </c>
      <c r="I199" s="83">
        <f>SUM(I172:I196)</f>
        <v>9649.16</v>
      </c>
      <c r="J199" s="83">
        <f>SUM(J172:J196)</f>
        <v>8437.259999999998</v>
      </c>
      <c r="K199" s="111">
        <f>SUM(K172:K196)</f>
        <v>8060.86</v>
      </c>
      <c r="L199" s="83">
        <f>SUM(L172:L196)</f>
        <v>7986.14</v>
      </c>
      <c r="M199" s="90">
        <f>SUM(M172:M196)</f>
        <v>8424.01</v>
      </c>
      <c r="N199" s="18">
        <f>SUM(N172:N196)</f>
        <v>101802.55000000002</v>
      </c>
      <c r="O199" s="76"/>
      <c r="P199" s="77"/>
      <c r="Q199" s="78"/>
      <c r="R199" s="125">
        <f>SUM(R169:R196)</f>
        <v>10430.679999999997</v>
      </c>
      <c r="S199" s="125">
        <f>SUM(S169:S196)</f>
        <v>3266.45</v>
      </c>
      <c r="T199" s="125">
        <f>SUM(T169:T196)</f>
        <v>11234.909999999998</v>
      </c>
      <c r="U199" s="52">
        <f>SUM(U169:U196)</f>
        <v>76870.51000000002</v>
      </c>
      <c r="V199" s="128">
        <f>U199/10657.4/12</f>
        <v>0.6010730415798727</v>
      </c>
      <c r="W199" s="31" t="s">
        <v>120</v>
      </c>
    </row>
    <row r="200" spans="1:23" ht="12.75">
      <c r="A200" s="24"/>
      <c r="B200" s="10"/>
      <c r="C200" s="10"/>
      <c r="D200" s="91"/>
      <c r="E200" s="91"/>
      <c r="F200" s="91"/>
      <c r="G200" s="91"/>
      <c r="H200" s="91"/>
      <c r="I200" s="91"/>
      <c r="J200" s="91"/>
      <c r="K200" s="91"/>
      <c r="L200" s="91"/>
      <c r="M200" s="92"/>
      <c r="N200" s="12"/>
      <c r="O200" s="79"/>
      <c r="P200" s="54"/>
      <c r="Q200" s="79"/>
      <c r="R200" s="129">
        <f>1497.04+1445.95+1500.02+1358.16+1359.11+1404.52+1593.81+272.07</f>
        <v>10430.679999999998</v>
      </c>
      <c r="S200" s="129">
        <f>245.49+239.49+291.99+233.86+234.32+240.16+265.42+257.82+572.94+217.41+223.68+243.87</f>
        <v>3266.45</v>
      </c>
      <c r="T200" s="129">
        <f>1157.9+902.47+1125.6+646.92+621.18+964.32+1553.72+1145.06+963.32+594.03+560.1+1000.29</f>
        <v>11234.91</v>
      </c>
      <c r="U200" s="54"/>
      <c r="V200" s="34"/>
      <c r="W200" s="34"/>
    </row>
    <row r="201" spans="1:14" ht="12.75">
      <c r="A201" s="1"/>
      <c r="B201" s="1"/>
      <c r="C201" s="1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1"/>
    </row>
    <row r="202" spans="1:14" ht="12.75">
      <c r="A202" s="1"/>
      <c r="B202" s="1"/>
      <c r="C202" s="1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1">
        <f>N199-N186-N188</f>
        <v>18294.670000000002</v>
      </c>
    </row>
    <row r="203" spans="4:5" ht="12.75">
      <c r="D203" s="94"/>
      <c r="E203" s="94"/>
    </row>
    <row r="204" spans="4:5" ht="12.75">
      <c r="D204" s="94"/>
      <c r="E204" s="94"/>
    </row>
    <row r="205" spans="4:5" ht="12.75">
      <c r="D205" s="94"/>
      <c r="E205" s="94"/>
    </row>
    <row r="206" spans="4:5" ht="12.75">
      <c r="D206" s="94"/>
      <c r="E206" s="94"/>
    </row>
    <row r="207" spans="4:5" ht="12.75">
      <c r="D207" s="94"/>
      <c r="E207" s="94"/>
    </row>
    <row r="208" spans="4:5" ht="12.75">
      <c r="D208" s="94"/>
      <c r="E208" s="94"/>
    </row>
    <row r="209" spans="4:5" ht="12.75">
      <c r="D209" s="94"/>
      <c r="E209" s="94"/>
    </row>
    <row r="210" spans="4:5" ht="12.75">
      <c r="D210" s="94"/>
      <c r="E210" s="94"/>
    </row>
    <row r="211" spans="4:5" ht="12.75">
      <c r="D211" s="94"/>
      <c r="E211" s="94"/>
    </row>
    <row r="212" spans="4:5" ht="12.75">
      <c r="D212" s="94"/>
      <c r="E212" s="94"/>
    </row>
    <row r="213" spans="4:5" ht="12.75">
      <c r="D213" s="94"/>
      <c r="E213" s="94"/>
    </row>
    <row r="214" spans="4:5" ht="12.75">
      <c r="D214" s="94"/>
      <c r="E214" s="94"/>
    </row>
    <row r="215" spans="4:5" ht="12.75">
      <c r="D215" s="94"/>
      <c r="E215" s="94"/>
    </row>
    <row r="216" spans="4:5" ht="12.75">
      <c r="D216" s="94"/>
      <c r="E216" s="94"/>
    </row>
    <row r="217" spans="4:5" ht="12.75">
      <c r="D217" s="94"/>
      <c r="E217" s="94"/>
    </row>
    <row r="218" spans="4:5" ht="12.75">
      <c r="D218" s="94"/>
      <c r="E218" s="94"/>
    </row>
    <row r="219" spans="4:5" ht="12.75">
      <c r="D219" s="94"/>
      <c r="E219" s="94"/>
    </row>
    <row r="220" spans="4:5" ht="12.75">
      <c r="D220" s="94"/>
      <c r="E220" s="94"/>
    </row>
    <row r="221" spans="4:5" ht="12.75">
      <c r="D221" s="94"/>
      <c r="E221" s="94"/>
    </row>
    <row r="222" spans="4:5" ht="12.75">
      <c r="D222" s="94"/>
      <c r="E222" s="94"/>
    </row>
    <row r="223" spans="4:5" ht="12.75">
      <c r="D223" s="94"/>
      <c r="E223" s="94"/>
    </row>
    <row r="224" spans="4:5" ht="12.75">
      <c r="D224" s="94"/>
      <c r="E224" s="94"/>
    </row>
    <row r="225" spans="4:5" ht="12.75">
      <c r="D225" s="94"/>
      <c r="E225" s="94"/>
    </row>
    <row r="226" spans="4:5" ht="12.75">
      <c r="D226" s="94"/>
      <c r="E226" s="94"/>
    </row>
    <row r="227" spans="4:5" ht="12.75">
      <c r="D227" s="94"/>
      <c r="E227" s="94"/>
    </row>
    <row r="228" spans="4:5" ht="12.75">
      <c r="D228" s="94"/>
      <c r="E228" s="94"/>
    </row>
    <row r="229" spans="4:5" ht="12.75">
      <c r="D229" s="94"/>
      <c r="E229" s="94"/>
    </row>
    <row r="230" spans="4:5" ht="12.75">
      <c r="D230" s="94"/>
      <c r="E230" s="94"/>
    </row>
    <row r="231" spans="4:5" ht="12.75">
      <c r="D231" s="94"/>
      <c r="E231" s="94"/>
    </row>
    <row r="232" spans="4:5" ht="12.75">
      <c r="D232" s="94"/>
      <c r="E232" s="94"/>
    </row>
    <row r="233" spans="4:5" ht="12.75">
      <c r="D233" s="94"/>
      <c r="E233" s="94"/>
    </row>
    <row r="234" spans="4:5" ht="12.75">
      <c r="D234" s="94"/>
      <c r="E234" s="94"/>
    </row>
    <row r="235" spans="4:5" ht="12.75">
      <c r="D235" s="94"/>
      <c r="E235" s="94"/>
    </row>
    <row r="236" spans="4:5" ht="12.75">
      <c r="D236" s="94"/>
      <c r="E236" s="94"/>
    </row>
    <row r="237" spans="4:5" ht="12.75">
      <c r="D237" s="94"/>
      <c r="E237" s="94"/>
    </row>
    <row r="238" spans="4:5" ht="12.75">
      <c r="D238" s="94"/>
      <c r="E238" s="94"/>
    </row>
    <row r="239" spans="4:5" ht="12.75">
      <c r="D239" s="94"/>
      <c r="E239" s="94"/>
    </row>
    <row r="240" spans="4:5" ht="12.75">
      <c r="D240" s="94"/>
      <c r="E240" s="94"/>
    </row>
    <row r="241" spans="4:5" ht="12.75">
      <c r="D241" s="94"/>
      <c r="E241" s="94"/>
    </row>
    <row r="242" spans="4:5" ht="12.75">
      <c r="D242" s="94"/>
      <c r="E242" s="94"/>
    </row>
    <row r="243" ht="12.75">
      <c r="E243" s="9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Różanek</dc:creator>
  <cp:keywords/>
  <dc:description/>
  <cp:lastModifiedBy>Urszula Różanek</cp:lastModifiedBy>
  <cp:lastPrinted>2014-05-15T13:02:22Z</cp:lastPrinted>
  <dcterms:created xsi:type="dcterms:W3CDTF">2009-12-18T09:15:00Z</dcterms:created>
  <dcterms:modified xsi:type="dcterms:W3CDTF">2014-05-20T13:02:10Z</dcterms:modified>
  <cp:category/>
  <cp:version/>
  <cp:contentType/>
  <cp:contentStatus/>
  <cp:revision>106</cp:revision>
</cp:coreProperties>
</file>