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<sst xmlns="http://schemas.openxmlformats.org/spreadsheetml/2006/main" count="182" uniqueCount="92">
  <si>
    <t xml:space="preserve">Eksploatacja   -  Holenderska   1-12 </t>
  </si>
  <si>
    <t>Załącznik nr 2 do bilansu za 2014</t>
  </si>
  <si>
    <t xml:space="preserve"> </t>
  </si>
  <si>
    <t>Prognoza  2015</t>
  </si>
  <si>
    <t>Wyszczególnienie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</si>
  <si>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</si>
  <si>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</si>
  <si>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</si>
  <si>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</si>
  <si>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</si>
  <si>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</si>
  <si>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</si>
  <si>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</si>
  <si>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</si>
  <si>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</si>
  <si>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</si>
  <si>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</si>
  <si>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Rok</t>
  </si>
  <si>
    <t>stawka</t>
  </si>
  <si>
    <t>Koszty</t>
  </si>
  <si>
    <t>/M2</t>
  </si>
  <si>
    <t>sprzątanie</t>
  </si>
  <si>
    <t>energia elektryczna</t>
  </si>
  <si>
    <t>energia cieplna, woda</t>
  </si>
  <si>
    <t>konserwacja</t>
  </si>
  <si>
    <t>przeglądy</t>
  </si>
  <si>
    <t xml:space="preserve">drobne naprawy </t>
  </si>
  <si>
    <t>zagospodarowanie terenu</t>
  </si>
  <si>
    <t>deratyzacja, dezynsekcja</t>
  </si>
  <si>
    <t>ubezpieczenie</t>
  </si>
  <si>
    <t>Koszty lustracji</t>
  </si>
  <si>
    <t>koszty zarządzania</t>
  </si>
  <si>
    <t xml:space="preserve"> koszty pośrednie</t>
  </si>
  <si>
    <t xml:space="preserve">BO </t>
  </si>
  <si>
    <t xml:space="preserve">koszty lokali wyodrębnionych </t>
  </si>
  <si>
    <t xml:space="preserve">stan początkowy </t>
  </si>
  <si>
    <t>powierzchnia lokali wyodrębnionych</t>
  </si>
  <si>
    <t>Miesięczne koszty lokali wyodrębnionych</t>
  </si>
  <si>
    <t>stan początkowy kosztów lok. Wyodrębnionych</t>
  </si>
  <si>
    <t>Eksploatacja -  Holenderska 13-21</t>
  </si>
  <si>
    <t>Załącznik nr 3 do bilansu za 2014</t>
  </si>
  <si>
    <t>energia elektryczna i cieplna</t>
  </si>
  <si>
    <t>koszty pośrednie</t>
  </si>
  <si>
    <t>koszty wyodrębnienia</t>
  </si>
  <si>
    <t>obsługa kredytu</t>
  </si>
  <si>
    <t>Lokale wyodrębnione</t>
  </si>
  <si>
    <t xml:space="preserve">KFM </t>
  </si>
  <si>
    <t>KFM 1</t>
  </si>
  <si>
    <t>Saldo  1-01-2014</t>
  </si>
  <si>
    <t>Wpływy 2014</t>
  </si>
  <si>
    <t>Spłaty  2014</t>
  </si>
  <si>
    <t>saneksy do umowy</t>
  </si>
  <si>
    <t>Eksploatacja  - Holenderska 22-23</t>
  </si>
  <si>
    <t>Załącznik nr 4 do bilansu za 2014</t>
  </si>
  <si>
    <t>rozliczenie niedoboru wody</t>
  </si>
  <si>
    <t xml:space="preserve">koszty  lokali wyodrębnionych </t>
  </si>
  <si>
    <t>Finansowanie kosztów ogólnych zarządu</t>
  </si>
  <si>
    <t>Koszty ogólne zarządu</t>
  </si>
  <si>
    <t>Załącznik nr 5  do bilansu za 2014 str 1</t>
  </si>
  <si>
    <t>Załącznik nr 5 do bilansu za 2014 str. 2</t>
  </si>
  <si>
    <t xml:space="preserve">koszty odólne sfinansowane z wpływów </t>
  </si>
  <si>
    <t>%</t>
  </si>
  <si>
    <t>Na 1 m 2</t>
  </si>
  <si>
    <t>Razem</t>
  </si>
  <si>
    <t>garaże</t>
  </si>
  <si>
    <t xml:space="preserve">lokale </t>
  </si>
  <si>
    <t xml:space="preserve">zarząd </t>
  </si>
  <si>
    <t xml:space="preserve">              eksploatacja </t>
  </si>
  <si>
    <t xml:space="preserve"> miesięcznie</t>
  </si>
  <si>
    <t>usługowe</t>
  </si>
  <si>
    <t>zlecony</t>
  </si>
  <si>
    <t>rok</t>
  </si>
  <si>
    <t>średnia/m-c</t>
  </si>
  <si>
    <t>Abonamenty,opłaty</t>
  </si>
  <si>
    <t>Abonamenty</t>
  </si>
  <si>
    <t>(home, ksiązk  tel, pospis el.)</t>
  </si>
  <si>
    <t>Szkolenie, badania pracowników</t>
  </si>
  <si>
    <t>szkolenie, badania</t>
  </si>
  <si>
    <t>koszty ogrzewania biura</t>
  </si>
  <si>
    <t>wyposażenie biura</t>
  </si>
  <si>
    <t xml:space="preserve"> telefon, internet</t>
  </si>
  <si>
    <t>znaczki opłaty pocztowe</t>
  </si>
  <si>
    <t>znaczki opłaty</t>
  </si>
  <si>
    <t>wynagrodzenia</t>
  </si>
  <si>
    <t>narzuty na wynagrodzenia</t>
  </si>
  <si>
    <t>ekwiwalenty, podróże sł.</t>
  </si>
  <si>
    <t>Lustracja</t>
  </si>
  <si>
    <t>Lustaracja</t>
  </si>
  <si>
    <t>Koszty Rady Nadzorczej</t>
  </si>
  <si>
    <t>koszty Rady</t>
  </si>
  <si>
    <t>podatek od nieruchom</t>
  </si>
  <si>
    <t>/1m2 powierzchni sredniomiesięcznie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</si>
</sst>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.000"/>
    <numFmt numFmtId="167" formatCode="#,###.00"/>
    <numFmt numFmtId="168" formatCode="D/MM/YYYY"/>
    <numFmt numFmtId="169" formatCode="0.00%"/>
  </numFmts>
  <fonts count="7"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rial CE"/>
      <family val="2"/>
    </font>
    <font>
      <sz val="7"/>
      <name val="Arial CE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0" fillId="0" borderId="1" xfId="0" applyBorder="1" applyAlignment="1">
      <alignment/>
    </xf>
    <xf numFmtId="164" fontId="0" fillId="0" borderId="1" xfId="0" applyFill="1" applyBorder="1" applyAlignment="1">
      <alignment/>
    </xf>
    <xf numFmtId="164" fontId="0" fillId="0" borderId="2" xfId="0" applyFill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2" borderId="5" xfId="0" applyFont="1" applyFill="1" applyBorder="1" applyAlignment="1">
      <alignment/>
    </xf>
    <xf numFmtId="164" fontId="0" fillId="2" borderId="6" xfId="0" applyFill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 horizontal="center"/>
    </xf>
    <xf numFmtId="164" fontId="0" fillId="0" borderId="8" xfId="0" applyFont="1" applyFill="1" applyBorder="1" applyAlignment="1">
      <alignment horizontal="center"/>
    </xf>
    <xf numFmtId="164" fontId="0" fillId="0" borderId="9" xfId="0" applyFont="1" applyFill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2" borderId="12" xfId="0" applyFill="1" applyBorder="1" applyAlignment="1">
      <alignment/>
    </xf>
    <xf numFmtId="164" fontId="0" fillId="2" borderId="13" xfId="0" applyFont="1" applyFill="1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5" xfId="0" applyFill="1" applyBorder="1" applyAlignment="1">
      <alignment/>
    </xf>
    <xf numFmtId="164" fontId="0" fillId="0" borderId="16" xfId="0" applyFill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5" fontId="0" fillId="2" borderId="13" xfId="0" applyNumberFormat="1" applyFont="1" applyFill="1" applyBorder="1" applyAlignment="1">
      <alignment horizontal="center"/>
    </xf>
    <xf numFmtId="164" fontId="0" fillId="0" borderId="8" xfId="0" applyBorder="1" applyAlignment="1">
      <alignment/>
    </xf>
    <xf numFmtId="164" fontId="0" fillId="0" borderId="8" xfId="0" applyFill="1" applyBorder="1" applyAlignment="1">
      <alignment/>
    </xf>
    <xf numFmtId="164" fontId="0" fillId="0" borderId="9" xfId="0" applyFill="1" applyBorder="1" applyAlignment="1">
      <alignment/>
    </xf>
    <xf numFmtId="164" fontId="0" fillId="0" borderId="10" xfId="0" applyBorder="1" applyAlignment="1">
      <alignment/>
    </xf>
    <xf numFmtId="164" fontId="0" fillId="2" borderId="19" xfId="0" applyFill="1" applyBorder="1" applyAlignment="1">
      <alignment/>
    </xf>
    <xf numFmtId="165" fontId="0" fillId="2" borderId="20" xfId="0" applyNumberFormat="1" applyFill="1" applyBorder="1" applyAlignment="1">
      <alignment/>
    </xf>
    <xf numFmtId="165" fontId="0" fillId="0" borderId="8" xfId="0" applyNumberFormat="1" applyBorder="1" applyAlignment="1">
      <alignment/>
    </xf>
    <xf numFmtId="165" fontId="0" fillId="0" borderId="8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5" fontId="0" fillId="2" borderId="12" xfId="0" applyNumberFormat="1" applyFill="1" applyBorder="1" applyAlignment="1">
      <alignment/>
    </xf>
    <xf numFmtId="165" fontId="0" fillId="2" borderId="13" xfId="0" applyNumberFormat="1" applyFill="1" applyBorder="1" applyAlignment="1">
      <alignment/>
    </xf>
    <xf numFmtId="164" fontId="4" fillId="0" borderId="7" xfId="0" applyFont="1" applyBorder="1" applyAlignment="1">
      <alignment/>
    </xf>
    <xf numFmtId="165" fontId="0" fillId="0" borderId="8" xfId="0" applyNumberFormat="1" applyFont="1" applyFill="1" applyBorder="1" applyAlignment="1">
      <alignment/>
    </xf>
    <xf numFmtId="165" fontId="0" fillId="0" borderId="9" xfId="0" applyNumberFormat="1" applyFill="1" applyBorder="1" applyAlignment="1">
      <alignment/>
    </xf>
    <xf numFmtId="167" fontId="0" fillId="2" borderId="21" xfId="0" applyNumberFormat="1" applyFill="1" applyBorder="1" applyAlignment="1">
      <alignment/>
    </xf>
    <xf numFmtId="165" fontId="0" fillId="2" borderId="22" xfId="0" applyNumberFormat="1" applyFill="1" applyBorder="1" applyAlignment="1">
      <alignment/>
    </xf>
    <xf numFmtId="164" fontId="0" fillId="0" borderId="23" xfId="0" applyBorder="1" applyAlignment="1">
      <alignment/>
    </xf>
    <xf numFmtId="164" fontId="0" fillId="0" borderId="24" xfId="0" applyFill="1" applyBorder="1" applyAlignment="1">
      <alignment/>
    </xf>
    <xf numFmtId="167" fontId="0" fillId="2" borderId="12" xfId="0" applyNumberFormat="1" applyFill="1" applyBorder="1" applyAlignment="1">
      <alignment/>
    </xf>
    <xf numFmtId="164" fontId="0" fillId="0" borderId="25" xfId="0" applyBorder="1" applyAlignment="1">
      <alignment/>
    </xf>
    <xf numFmtId="165" fontId="0" fillId="0" borderId="26" xfId="0" applyNumberFormat="1" applyFill="1" applyBorder="1" applyAlignment="1">
      <alignment/>
    </xf>
    <xf numFmtId="164" fontId="0" fillId="0" borderId="27" xfId="0" applyBorder="1" applyAlignment="1">
      <alignment/>
    </xf>
    <xf numFmtId="164" fontId="0" fillId="0" borderId="28" xfId="0" applyFill="1" applyBorder="1" applyAlignment="1">
      <alignment/>
    </xf>
    <xf numFmtId="164" fontId="0" fillId="2" borderId="21" xfId="0" applyFill="1" applyBorder="1" applyAlignment="1">
      <alignment/>
    </xf>
    <xf numFmtId="164" fontId="0" fillId="2" borderId="22" xfId="0" applyFill="1" applyBorder="1" applyAlignment="1">
      <alignment/>
    </xf>
    <xf numFmtId="164" fontId="0" fillId="0" borderId="29" xfId="0" applyFon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4" xfId="0" applyFont="1" applyBorder="1" applyAlignment="1">
      <alignment/>
    </xf>
    <xf numFmtId="164" fontId="0" fillId="0" borderId="31" xfId="0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5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Fill="1" applyAlignment="1">
      <alignment/>
    </xf>
    <xf numFmtId="164" fontId="0" fillId="2" borderId="13" xfId="0" applyFont="1" applyFill="1" applyBorder="1" applyAlignment="1">
      <alignment horizontal="center"/>
    </xf>
    <xf numFmtId="164" fontId="0" fillId="2" borderId="20" xfId="0" applyFill="1" applyBorder="1" applyAlignment="1">
      <alignment/>
    </xf>
    <xf numFmtId="165" fontId="0" fillId="2" borderId="21" xfId="0" applyNumberFormat="1" applyFill="1" applyBorder="1" applyAlignment="1">
      <alignment/>
    </xf>
    <xf numFmtId="165" fontId="0" fillId="0" borderId="4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5" fontId="0" fillId="0" borderId="24" xfId="0" applyNumberFormat="1" applyBorder="1" applyAlignment="1">
      <alignment/>
    </xf>
    <xf numFmtId="164" fontId="0" fillId="0" borderId="28" xfId="0" applyBorder="1" applyAlignment="1">
      <alignment/>
    </xf>
    <xf numFmtId="165" fontId="0" fillId="0" borderId="0" xfId="0" applyNumberFormat="1" applyFill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0" fillId="0" borderId="35" xfId="0" applyBorder="1" applyAlignment="1">
      <alignment/>
    </xf>
    <xf numFmtId="164" fontId="0" fillId="0" borderId="36" xfId="0" applyFont="1" applyBorder="1" applyAlignment="1">
      <alignment horizontal="center"/>
    </xf>
    <xf numFmtId="164" fontId="0" fillId="0" borderId="37" xfId="0" applyBorder="1" applyAlignment="1">
      <alignment/>
    </xf>
    <xf numFmtId="164" fontId="0" fillId="0" borderId="38" xfId="0" applyFont="1" applyBorder="1" applyAlignment="1">
      <alignment/>
    </xf>
    <xf numFmtId="164" fontId="0" fillId="0" borderId="39" xfId="0" applyFont="1" applyBorder="1" applyAlignment="1">
      <alignment/>
    </xf>
    <xf numFmtId="164" fontId="0" fillId="0" borderId="40" xfId="0" applyFont="1" applyBorder="1" applyAlignment="1">
      <alignment/>
    </xf>
    <xf numFmtId="164" fontId="0" fillId="0" borderId="41" xfId="0" applyBorder="1" applyAlignment="1">
      <alignment/>
    </xf>
    <xf numFmtId="164" fontId="0" fillId="0" borderId="42" xfId="0" applyBorder="1" applyAlignment="1">
      <alignment/>
    </xf>
    <xf numFmtId="164" fontId="0" fillId="0" borderId="43" xfId="0" applyFont="1" applyBorder="1" applyAlignment="1">
      <alignment/>
    </xf>
    <xf numFmtId="164" fontId="0" fillId="0" borderId="44" xfId="0" applyBorder="1" applyAlignment="1">
      <alignment/>
    </xf>
    <xf numFmtId="164" fontId="0" fillId="0" borderId="45" xfId="0" applyBorder="1" applyAlignment="1">
      <alignment/>
    </xf>
    <xf numFmtId="168" fontId="0" fillId="0" borderId="46" xfId="0" applyNumberFormat="1" applyFont="1" applyBorder="1" applyAlignment="1">
      <alignment/>
    </xf>
    <xf numFmtId="164" fontId="0" fillId="0" borderId="47" xfId="0" applyFont="1" applyBorder="1" applyAlignment="1">
      <alignment/>
    </xf>
    <xf numFmtId="164" fontId="0" fillId="0" borderId="48" xfId="0" applyBorder="1" applyAlignment="1">
      <alignment/>
    </xf>
    <xf numFmtId="164" fontId="0" fillId="0" borderId="49" xfId="0" applyBorder="1" applyAlignment="1">
      <alignment/>
    </xf>
    <xf numFmtId="167" fontId="0" fillId="0" borderId="13" xfId="0" applyNumberFormat="1" applyBorder="1" applyAlignment="1">
      <alignment/>
    </xf>
    <xf numFmtId="169" fontId="0" fillId="0" borderId="49" xfId="0" applyNumberFormat="1" applyBorder="1" applyAlignment="1">
      <alignment/>
    </xf>
    <xf numFmtId="167" fontId="0" fillId="0" borderId="38" xfId="0" applyNumberForma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11" xfId="0" applyNumberFormat="1" applyBorder="1" applyAlignment="1">
      <alignment/>
    </xf>
    <xf numFmtId="164" fontId="0" fillId="0" borderId="50" xfId="0" applyBorder="1" applyAlignment="1">
      <alignment/>
    </xf>
    <xf numFmtId="164" fontId="0" fillId="0" borderId="13" xfId="0" applyBorder="1" applyAlignment="1">
      <alignment/>
    </xf>
    <xf numFmtId="164" fontId="0" fillId="0" borderId="30" xfId="0" applyBorder="1" applyAlignment="1">
      <alignment/>
    </xf>
    <xf numFmtId="167" fontId="0" fillId="0" borderId="1" xfId="0" applyNumberFormat="1" applyBorder="1" applyAlignment="1">
      <alignment/>
    </xf>
    <xf numFmtId="165" fontId="6" fillId="0" borderId="8" xfId="0" applyNumberFormat="1" applyFont="1" applyFill="1" applyBorder="1" applyAlignment="1">
      <alignment/>
    </xf>
    <xf numFmtId="167" fontId="0" fillId="0" borderId="15" xfId="0" applyNumberForma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8"/>
  <sheetViews>
    <sheetView tabSelected="1" workbookViewId="0" topLeftCell="A1">
      <selection activeCell="C15" sqref="C15"/>
    </sheetView>
  </sheetViews>
  <sheetFormatPr defaultColWidth="12.57421875" defaultRowHeight="12.75"/>
  <cols>
    <col min="1" max="16384" width="11.57421875" style="0" customWidth="1"/>
  </cols>
  <sheetData>
    <row r="1" spans="7:13" ht="12.75">
      <c r="G1" s="1"/>
      <c r="H1" s="1"/>
      <c r="M1" s="1"/>
    </row>
    <row r="2" spans="1:13" ht="12.75">
      <c r="A2" s="2">
        <v>2014</v>
      </c>
      <c r="B2" s="3" t="s">
        <v>0</v>
      </c>
      <c r="C2" s="3"/>
      <c r="D2" s="1"/>
      <c r="E2" s="1"/>
      <c r="F2" s="1"/>
      <c r="G2" s="1"/>
      <c r="H2" s="1"/>
      <c r="I2" s="1"/>
      <c r="L2" s="1"/>
      <c r="M2" s="4" t="s">
        <v>1</v>
      </c>
    </row>
    <row r="3" spans="1:13" ht="12.75">
      <c r="A3" s="2"/>
      <c r="B3" s="3"/>
      <c r="C3" s="3"/>
      <c r="D3" s="1"/>
      <c r="E3" s="1"/>
      <c r="F3" s="1"/>
      <c r="G3" s="1"/>
      <c r="H3" s="1"/>
      <c r="I3" s="1"/>
      <c r="L3" s="1"/>
      <c r="M3" s="5" t="s">
        <v>2</v>
      </c>
    </row>
    <row r="4" spans="1:17" ht="12.75">
      <c r="A4" s="6"/>
      <c r="B4" s="6"/>
      <c r="C4" s="6"/>
      <c r="D4" s="7"/>
      <c r="E4" s="7"/>
      <c r="F4" s="7"/>
      <c r="G4" s="7"/>
      <c r="H4" s="7"/>
      <c r="I4" s="7"/>
      <c r="J4" s="6"/>
      <c r="K4" s="6"/>
      <c r="L4" s="7"/>
      <c r="M4" s="8"/>
      <c r="N4" s="9"/>
      <c r="O4" s="10"/>
      <c r="P4" s="11" t="s">
        <v>3</v>
      </c>
      <c r="Q4" s="12"/>
    </row>
    <row r="5" spans="1:17" ht="12.75">
      <c r="A5" s="13" t="s">
        <v>4</v>
      </c>
      <c r="B5" s="14" t="s">
        <v>5</v>
      </c>
      <c r="C5" s="14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12</v>
      </c>
      <c r="J5" s="14" t="s">
        <v>13</v>
      </c>
      <c r="K5" s="15" t="s">
        <v>14</v>
      </c>
      <c r="L5" s="15" t="s">
        <v>15</v>
      </c>
      <c r="M5" s="16" t="s">
        <v>16</v>
      </c>
      <c r="N5" s="17" t="s">
        <v>17</v>
      </c>
      <c r="O5" s="18" t="s">
        <v>18</v>
      </c>
      <c r="P5" s="19"/>
      <c r="Q5" s="20" t="s">
        <v>18</v>
      </c>
    </row>
    <row r="6" spans="1:17" ht="12.75">
      <c r="A6" s="21"/>
      <c r="B6" s="22"/>
      <c r="C6" s="22"/>
      <c r="D6" s="23"/>
      <c r="E6" s="23"/>
      <c r="F6" s="23"/>
      <c r="G6" s="23"/>
      <c r="H6" s="23"/>
      <c r="I6" s="23"/>
      <c r="J6" s="23"/>
      <c r="K6" s="23"/>
      <c r="L6" s="23"/>
      <c r="M6" s="24"/>
      <c r="N6" s="25"/>
      <c r="O6" s="26"/>
      <c r="P6" s="19" t="s">
        <v>19</v>
      </c>
      <c r="Q6" s="27" t="s">
        <v>20</v>
      </c>
    </row>
    <row r="7" spans="1:17" ht="12.75">
      <c r="A7" s="13"/>
      <c r="B7" s="28"/>
      <c r="C7" s="28"/>
      <c r="D7" s="29"/>
      <c r="E7" s="29"/>
      <c r="F7" s="29"/>
      <c r="G7" s="29"/>
      <c r="H7" s="29"/>
      <c r="I7" s="29"/>
      <c r="J7" s="29"/>
      <c r="K7" s="29"/>
      <c r="L7" s="29"/>
      <c r="M7" s="30"/>
      <c r="N7" s="31"/>
      <c r="O7" s="18"/>
      <c r="P7" s="32"/>
      <c r="Q7" s="33"/>
    </row>
    <row r="8" spans="1:17" ht="12.75">
      <c r="A8" s="13" t="s">
        <v>21</v>
      </c>
      <c r="B8" s="34">
        <v>1900</v>
      </c>
      <c r="C8" s="35">
        <v>1900</v>
      </c>
      <c r="D8" s="35">
        <v>1900</v>
      </c>
      <c r="E8" s="35">
        <v>1900</v>
      </c>
      <c r="F8" s="35">
        <v>1900</v>
      </c>
      <c r="G8" s="35">
        <v>1900</v>
      </c>
      <c r="H8" s="35">
        <v>1900</v>
      </c>
      <c r="I8" s="35">
        <v>1900</v>
      </c>
      <c r="J8" s="35">
        <v>1900</v>
      </c>
      <c r="K8" s="35">
        <v>1900</v>
      </c>
      <c r="L8" s="35">
        <v>1900</v>
      </c>
      <c r="M8" s="35">
        <v>1900</v>
      </c>
      <c r="N8" s="36">
        <f>SUM(B8:M8)</f>
        <v>22800</v>
      </c>
      <c r="O8" s="37">
        <f>N8/6756/12</f>
        <v>0.2812314979277679</v>
      </c>
      <c r="P8" s="38">
        <v>23400</v>
      </c>
      <c r="Q8" s="39">
        <f>P8/6756/12</f>
        <v>0.2886323268206039</v>
      </c>
    </row>
    <row r="9" spans="1:17" ht="12.75">
      <c r="A9" s="40"/>
      <c r="B9" s="34"/>
      <c r="C9" s="35"/>
      <c r="D9" s="35"/>
      <c r="E9" s="35"/>
      <c r="F9" s="35"/>
      <c r="G9" s="35"/>
      <c r="H9" s="35"/>
      <c r="I9" s="35"/>
      <c r="J9" s="35"/>
      <c r="K9" s="41"/>
      <c r="L9" s="35"/>
      <c r="M9" s="42"/>
      <c r="N9" s="36"/>
      <c r="O9" s="37"/>
      <c r="P9" s="38"/>
      <c r="Q9" s="39"/>
    </row>
    <row r="10" spans="1:17" ht="12.75">
      <c r="A10" s="13" t="s">
        <v>22</v>
      </c>
      <c r="B10" s="34">
        <v>830.73</v>
      </c>
      <c r="C10" s="35">
        <v>-10.8</v>
      </c>
      <c r="D10" s="35">
        <v>753.65</v>
      </c>
      <c r="E10" s="35"/>
      <c r="F10" s="35">
        <f>172.26+76.86+168.82+185.87</f>
        <v>603.81</v>
      </c>
      <c r="G10" s="35"/>
      <c r="H10" s="35">
        <v>609.34</v>
      </c>
      <c r="I10" s="35"/>
      <c r="J10" s="35">
        <f>146.78+58.82+65.71+146.69</f>
        <v>418</v>
      </c>
      <c r="K10" s="41"/>
      <c r="L10" s="35">
        <v>825.97</v>
      </c>
      <c r="M10" s="42"/>
      <c r="N10" s="36">
        <f>SUM(B10:M10)</f>
        <v>4030.7000000000003</v>
      </c>
      <c r="O10" s="37">
        <f>N10/6756/12</f>
        <v>0.04971753503059009</v>
      </c>
      <c r="P10" s="38">
        <v>4100</v>
      </c>
      <c r="Q10" s="39">
        <f>P10/6756/12</f>
        <v>0.05057233076771265</v>
      </c>
    </row>
    <row r="11" spans="1:17" ht="12.75">
      <c r="A11" s="13"/>
      <c r="B11" s="34"/>
      <c r="C11" s="35"/>
      <c r="D11" s="35"/>
      <c r="E11" s="35"/>
      <c r="F11" s="35"/>
      <c r="G11" s="35"/>
      <c r="H11" s="35"/>
      <c r="I11" s="35"/>
      <c r="J11" s="35"/>
      <c r="K11" s="41"/>
      <c r="L11" s="35"/>
      <c r="M11" s="42"/>
      <c r="N11" s="36"/>
      <c r="O11" s="37"/>
      <c r="P11" s="38"/>
      <c r="Q11" s="39"/>
    </row>
    <row r="12" spans="1:17" ht="12.75">
      <c r="A12" s="13" t="s">
        <v>23</v>
      </c>
      <c r="B12" s="34"/>
      <c r="C12" s="35"/>
      <c r="D12" s="35"/>
      <c r="E12" s="35"/>
      <c r="F12" s="35"/>
      <c r="G12" s="35"/>
      <c r="H12" s="35"/>
      <c r="I12" s="35">
        <v>2209.44</v>
      </c>
      <c r="J12" s="35"/>
      <c r="K12" s="41"/>
      <c r="L12" s="35"/>
      <c r="M12" s="42">
        <v>779.84</v>
      </c>
      <c r="N12" s="36">
        <f>SUM(B12:M12)</f>
        <v>2989.28</v>
      </c>
      <c r="O12" s="37">
        <f>N12/6756/12</f>
        <v>0.036871916321294655</v>
      </c>
      <c r="P12" s="38">
        <v>5500</v>
      </c>
      <c r="Q12" s="39">
        <f>P12/6756/12</f>
        <v>0.06784093151766331</v>
      </c>
    </row>
    <row r="13" spans="1:17" ht="12.75">
      <c r="A13" s="13"/>
      <c r="B13" s="34"/>
      <c r="C13" s="35"/>
      <c r="D13" s="35"/>
      <c r="E13" s="35"/>
      <c r="F13" s="35"/>
      <c r="G13" s="35"/>
      <c r="H13" s="35"/>
      <c r="I13" s="35"/>
      <c r="J13" s="35"/>
      <c r="K13" s="41"/>
      <c r="L13" s="35"/>
      <c r="M13" s="42"/>
      <c r="N13" s="36"/>
      <c r="O13" s="37"/>
      <c r="P13" s="38"/>
      <c r="Q13" s="39"/>
    </row>
    <row r="14" spans="1:17" ht="12.75">
      <c r="A14" s="13" t="s">
        <v>24</v>
      </c>
      <c r="B14" s="34">
        <v>290</v>
      </c>
      <c r="C14" s="35">
        <v>740</v>
      </c>
      <c r="D14" s="35">
        <v>1200</v>
      </c>
      <c r="E14" s="35">
        <v>750</v>
      </c>
      <c r="F14" s="35">
        <f>320+470</f>
        <v>790</v>
      </c>
      <c r="G14" s="35">
        <v>520.04</v>
      </c>
      <c r="H14" s="35">
        <f>470+260</f>
        <v>730</v>
      </c>
      <c r="I14" s="35">
        <v>470</v>
      </c>
      <c r="J14" s="35">
        <f>940+260+260</f>
        <v>1460</v>
      </c>
      <c r="K14" s="35">
        <v>470</v>
      </c>
      <c r="L14" s="35">
        <v>470</v>
      </c>
      <c r="M14" s="35">
        <v>1230</v>
      </c>
      <c r="N14" s="36">
        <f>SUM(B14:M14)</f>
        <v>9120.04</v>
      </c>
      <c r="O14" s="37">
        <f>N14/6756/12</f>
        <v>0.11249309255970003</v>
      </c>
      <c r="P14" s="38">
        <v>9000</v>
      </c>
      <c r="Q14" s="39">
        <f>P14/6756/12</f>
        <v>0.11101243339253997</v>
      </c>
    </row>
    <row r="15" spans="1:17" ht="12.75">
      <c r="A15" s="13"/>
      <c r="B15" s="34"/>
      <c r="C15" s="35"/>
      <c r="D15" s="35"/>
      <c r="E15" s="35"/>
      <c r="F15" s="35"/>
      <c r="G15" s="35"/>
      <c r="H15" s="35"/>
      <c r="I15" s="35"/>
      <c r="J15" s="35"/>
      <c r="K15" s="41"/>
      <c r="L15" s="35"/>
      <c r="M15" s="42"/>
      <c r="N15" s="36"/>
      <c r="O15" s="37"/>
      <c r="P15" s="38"/>
      <c r="Q15" s="39"/>
    </row>
    <row r="16" spans="1:17" ht="12.75">
      <c r="A16" s="13" t="s">
        <v>25</v>
      </c>
      <c r="B16" s="34"/>
      <c r="C16" s="35"/>
      <c r="D16" s="35"/>
      <c r="E16" s="35"/>
      <c r="F16" s="35">
        <v>889</v>
      </c>
      <c r="G16" s="35">
        <v>1331.32</v>
      </c>
      <c r="H16" s="35"/>
      <c r="I16" s="35"/>
      <c r="J16" s="35"/>
      <c r="K16" s="41"/>
      <c r="L16" s="35"/>
      <c r="M16" s="42"/>
      <c r="N16" s="36">
        <f>SUM(B16:M16)</f>
        <v>2220.3199999999997</v>
      </c>
      <c r="O16" s="37">
        <f>N16/6756/12</f>
        <v>0.027387014012236033</v>
      </c>
      <c r="P16" s="38">
        <v>4100</v>
      </c>
      <c r="Q16" s="39">
        <f>P16/6756/12</f>
        <v>0.05057233076771265</v>
      </c>
    </row>
    <row r="17" spans="1:17" ht="12.75">
      <c r="A17" s="13"/>
      <c r="B17" s="34"/>
      <c r="C17" s="35"/>
      <c r="D17" s="35"/>
      <c r="E17" s="35"/>
      <c r="F17" s="35"/>
      <c r="G17" s="35"/>
      <c r="H17" s="35"/>
      <c r="I17" s="35"/>
      <c r="J17" s="35"/>
      <c r="K17" s="41"/>
      <c r="L17" s="35"/>
      <c r="M17" s="42"/>
      <c r="N17" s="36"/>
      <c r="O17" s="37"/>
      <c r="P17" s="38"/>
      <c r="Q17" s="39"/>
    </row>
    <row r="18" spans="1:17" ht="12.75">
      <c r="A18" s="13" t="s">
        <v>26</v>
      </c>
      <c r="B18" s="34">
        <v>211.07</v>
      </c>
      <c r="C18" s="35">
        <v>64.46</v>
      </c>
      <c r="D18" s="35">
        <v>60.01</v>
      </c>
      <c r="E18" s="35">
        <v>208.01</v>
      </c>
      <c r="F18" s="35">
        <f>50+14.9+70+4.58+5.33+37</f>
        <v>181.81000000000003</v>
      </c>
      <c r="G18" s="35">
        <v>17.99</v>
      </c>
      <c r="H18" s="35">
        <f>89.98+60</f>
        <v>149.98000000000002</v>
      </c>
      <c r="I18" s="35">
        <f>4.99+62.98</f>
        <v>67.97</v>
      </c>
      <c r="J18" s="35">
        <v>0</v>
      </c>
      <c r="K18" s="41"/>
      <c r="L18" s="35"/>
      <c r="M18" s="42"/>
      <c r="N18" s="36">
        <f>SUM(B18:M18)</f>
        <v>961.3000000000002</v>
      </c>
      <c r="O18" s="37">
        <f>N18/6756/12</f>
        <v>0.011857361357805409</v>
      </c>
      <c r="P18" s="38">
        <v>1000</v>
      </c>
      <c r="Q18" s="39">
        <f>P18/6756/12</f>
        <v>0.01233471482139333</v>
      </c>
    </row>
    <row r="19" spans="1:17" ht="12.75">
      <c r="A19" s="13"/>
      <c r="B19" s="34"/>
      <c r="C19" s="35"/>
      <c r="D19" s="35"/>
      <c r="E19" s="35"/>
      <c r="F19" s="35"/>
      <c r="G19" s="35"/>
      <c r="H19" s="35"/>
      <c r="I19" s="35"/>
      <c r="J19" s="35"/>
      <c r="K19" s="41"/>
      <c r="L19" s="35"/>
      <c r="M19" s="42"/>
      <c r="N19" s="36"/>
      <c r="O19" s="37"/>
      <c r="P19" s="38"/>
      <c r="Q19" s="39"/>
    </row>
    <row r="20" spans="1:17" ht="12.75">
      <c r="A20" s="13" t="s">
        <v>27</v>
      </c>
      <c r="B20" s="34"/>
      <c r="C20" s="35"/>
      <c r="D20" s="35">
        <v>100</v>
      </c>
      <c r="E20" s="35"/>
      <c r="F20" s="35">
        <f>30+98.4</f>
        <v>128.4</v>
      </c>
      <c r="G20" s="35"/>
      <c r="H20" s="35">
        <v>283.58</v>
      </c>
      <c r="I20" s="35"/>
      <c r="J20" s="35"/>
      <c r="K20" s="41"/>
      <c r="L20" s="35">
        <v>82</v>
      </c>
      <c r="M20" s="42"/>
      <c r="N20" s="36">
        <f>SUM(B20:M20)</f>
        <v>593.98</v>
      </c>
      <c r="O20" s="37">
        <f>N20/6756/12</f>
        <v>0.0073265739096112096</v>
      </c>
      <c r="P20" s="38">
        <v>0</v>
      </c>
      <c r="Q20" s="39">
        <f>P20/6756/12</f>
        <v>0</v>
      </c>
    </row>
    <row r="21" spans="1:17" ht="12.75">
      <c r="A21" s="13"/>
      <c r="B21" s="34"/>
      <c r="C21" s="35"/>
      <c r="D21" s="35"/>
      <c r="E21" s="35"/>
      <c r="F21" s="35"/>
      <c r="G21" s="35"/>
      <c r="H21" s="35"/>
      <c r="I21" s="35"/>
      <c r="J21" s="35"/>
      <c r="K21" s="41"/>
      <c r="L21" s="35"/>
      <c r="M21" s="42"/>
      <c r="N21" s="36"/>
      <c r="O21" s="37"/>
      <c r="P21" s="38"/>
      <c r="Q21" s="39"/>
    </row>
    <row r="22" spans="1:17" ht="12.75">
      <c r="A22" s="13" t="s">
        <v>28</v>
      </c>
      <c r="B22" s="34"/>
      <c r="C22" s="35"/>
      <c r="D22" s="35"/>
      <c r="E22" s="35"/>
      <c r="F22" s="35">
        <v>100</v>
      </c>
      <c r="G22" s="35">
        <v>280</v>
      </c>
      <c r="H22" s="35"/>
      <c r="I22" s="35"/>
      <c r="J22" s="35"/>
      <c r="K22" s="41"/>
      <c r="L22" s="35">
        <v>100</v>
      </c>
      <c r="M22" s="42"/>
      <c r="N22" s="36">
        <f>SUM(B22:M22)</f>
        <v>480</v>
      </c>
      <c r="O22" s="37">
        <f>N22/6756/12</f>
        <v>0.005920663114268798</v>
      </c>
      <c r="P22" s="38">
        <v>600</v>
      </c>
      <c r="Q22" s="39">
        <f>P22/6756/12</f>
        <v>0.007400828892835998</v>
      </c>
    </row>
    <row r="23" spans="1:17" ht="12.75">
      <c r="A23" s="13"/>
      <c r="B23" s="34"/>
      <c r="C23" s="35"/>
      <c r="D23" s="35"/>
      <c r="E23" s="35"/>
      <c r="F23" s="35"/>
      <c r="G23" s="35"/>
      <c r="H23" s="35"/>
      <c r="I23" s="35"/>
      <c r="J23" s="35"/>
      <c r="K23" s="41"/>
      <c r="L23" s="35"/>
      <c r="M23" s="42"/>
      <c r="N23" s="36"/>
      <c r="O23" s="37"/>
      <c r="P23" s="38"/>
      <c r="Q23" s="39"/>
    </row>
    <row r="24" spans="1:17" ht="12.75">
      <c r="A24" s="13" t="s">
        <v>29</v>
      </c>
      <c r="B24" s="34"/>
      <c r="C24" s="35">
        <v>792</v>
      </c>
      <c r="D24" s="35"/>
      <c r="E24" s="35"/>
      <c r="F24" s="35"/>
      <c r="G24" s="35"/>
      <c r="H24" s="35"/>
      <c r="I24" s="35">
        <v>792</v>
      </c>
      <c r="J24" s="35"/>
      <c r="K24" s="41"/>
      <c r="L24" s="35"/>
      <c r="M24" s="42"/>
      <c r="N24" s="36">
        <f>SUM(B24:M24)</f>
        <v>1584</v>
      </c>
      <c r="O24" s="37">
        <f>N24/6756/12</f>
        <v>0.019538188277087035</v>
      </c>
      <c r="P24" s="38">
        <v>1600</v>
      </c>
      <c r="Q24" s="39">
        <f>P24/6756/12</f>
        <v>0.019735543714229326</v>
      </c>
    </row>
    <row r="25" spans="1:17" ht="12.75">
      <c r="A25" s="13"/>
      <c r="B25" s="34"/>
      <c r="C25" s="35"/>
      <c r="D25" s="35"/>
      <c r="E25" s="35"/>
      <c r="F25" s="35"/>
      <c r="G25" s="35"/>
      <c r="H25" s="35"/>
      <c r="I25" s="35"/>
      <c r="J25" s="35"/>
      <c r="K25" s="41"/>
      <c r="L25" s="35"/>
      <c r="M25" s="42"/>
      <c r="N25" s="36"/>
      <c r="O25" s="37"/>
      <c r="P25" s="38"/>
      <c r="Q25" s="39"/>
    </row>
    <row r="26" spans="1:17" ht="12.75">
      <c r="A26" s="13" t="s">
        <v>30</v>
      </c>
      <c r="B26" s="34"/>
      <c r="C26" s="35"/>
      <c r="D26" s="35"/>
      <c r="E26" s="35"/>
      <c r="F26" s="35"/>
      <c r="G26" s="35"/>
      <c r="H26" s="35"/>
      <c r="I26" s="35"/>
      <c r="J26" s="35"/>
      <c r="K26" s="41"/>
      <c r="L26" s="35"/>
      <c r="M26" s="42">
        <v>11418.38</v>
      </c>
      <c r="N26" s="36">
        <f>SUM(B26:M26)</f>
        <v>11418.38</v>
      </c>
      <c r="O26" s="37">
        <f>N26/6756/12</f>
        <v>0.14084246102230116</v>
      </c>
      <c r="P26" s="38">
        <v>0</v>
      </c>
      <c r="Q26" s="39">
        <f>P26/6756/12</f>
        <v>0</v>
      </c>
    </row>
    <row r="27" spans="1:17" ht="12.75">
      <c r="A27" s="13"/>
      <c r="B27" s="34"/>
      <c r="C27" s="35"/>
      <c r="D27" s="35"/>
      <c r="E27" s="35"/>
      <c r="F27" s="35"/>
      <c r="G27" s="35"/>
      <c r="H27" s="35"/>
      <c r="I27" s="35"/>
      <c r="J27" s="35"/>
      <c r="K27" s="41"/>
      <c r="L27" s="35"/>
      <c r="M27" s="42"/>
      <c r="N27" s="36"/>
      <c r="O27" s="37"/>
      <c r="P27" s="38"/>
      <c r="Q27" s="39"/>
    </row>
    <row r="28" spans="1:17" ht="12.75">
      <c r="A28" s="13" t="s">
        <v>31</v>
      </c>
      <c r="B28" s="34">
        <v>3870.76</v>
      </c>
      <c r="C28" s="35">
        <v>3556.98</v>
      </c>
      <c r="D28" s="35">
        <v>3757.83</v>
      </c>
      <c r="E28" s="35">
        <v>3662.86</v>
      </c>
      <c r="F28" s="35">
        <v>3721.57</v>
      </c>
      <c r="G28" s="35">
        <v>5733.13</v>
      </c>
      <c r="H28" s="35">
        <v>3867.33</v>
      </c>
      <c r="I28" s="35">
        <v>3821.35</v>
      </c>
      <c r="J28" s="35">
        <v>3573.67</v>
      </c>
      <c r="K28" s="41">
        <v>4009.5</v>
      </c>
      <c r="L28" s="35">
        <v>4044.18</v>
      </c>
      <c r="M28" s="42">
        <f>4411.97+3217.9</f>
        <v>7629.870000000001</v>
      </c>
      <c r="N28" s="36">
        <f>SUM(B28:M28)</f>
        <v>51249.03</v>
      </c>
      <c r="O28" s="37">
        <f>N28/6756/12</f>
        <v>0.6321421699230313</v>
      </c>
      <c r="P28" s="38">
        <v>55500</v>
      </c>
      <c r="Q28" s="39">
        <f>P28/6756/12</f>
        <v>0.6845766725873298</v>
      </c>
    </row>
    <row r="29" spans="1:17" ht="12.75">
      <c r="A29" s="13"/>
      <c r="B29" s="34"/>
      <c r="C29" s="35"/>
      <c r="D29" s="35"/>
      <c r="E29" s="35"/>
      <c r="F29" s="35"/>
      <c r="G29" s="35"/>
      <c r="H29" s="35"/>
      <c r="I29" s="35"/>
      <c r="J29" s="35"/>
      <c r="K29" s="41"/>
      <c r="L29" s="35"/>
      <c r="M29" s="42"/>
      <c r="N29" s="36"/>
      <c r="O29" s="37"/>
      <c r="P29" s="38"/>
      <c r="Q29" s="39"/>
    </row>
    <row r="30" spans="1:17" ht="12.75">
      <c r="A30" s="13" t="s">
        <v>32</v>
      </c>
      <c r="B30" s="34">
        <v>684.67</v>
      </c>
      <c r="C30" s="35">
        <v>597.34</v>
      </c>
      <c r="D30" s="35">
        <v>281.85</v>
      </c>
      <c r="E30" s="35">
        <v>1188.41</v>
      </c>
      <c r="F30" s="35">
        <v>611.15</v>
      </c>
      <c r="G30" s="35">
        <v>225.9</v>
      </c>
      <c r="H30" s="35">
        <v>1741.52</v>
      </c>
      <c r="I30" s="35">
        <v>154.78</v>
      </c>
      <c r="J30" s="35">
        <v>145.22</v>
      </c>
      <c r="K30" s="41">
        <v>208.75</v>
      </c>
      <c r="L30" s="35">
        <v>596.24</v>
      </c>
      <c r="M30" s="42">
        <v>717.43</v>
      </c>
      <c r="N30" s="36">
        <f>SUM(B30:M30)</f>
        <v>7153.26</v>
      </c>
      <c r="O30" s="37">
        <f>N30/6756/12</f>
        <v>0.08823342214328005</v>
      </c>
      <c r="P30" s="38">
        <v>7900</v>
      </c>
      <c r="Q30" s="39">
        <f>P30/6756/12</f>
        <v>0.0974442470890073</v>
      </c>
    </row>
    <row r="31" spans="1:17" ht="12.75">
      <c r="A31" s="13"/>
      <c r="B31" s="34"/>
      <c r="C31" s="35"/>
      <c r="D31" s="35"/>
      <c r="E31" s="35"/>
      <c r="F31" s="35"/>
      <c r="G31" s="35"/>
      <c r="H31" s="35"/>
      <c r="I31" s="35"/>
      <c r="J31" s="35"/>
      <c r="K31" s="41"/>
      <c r="L31" s="35"/>
      <c r="M31" s="42"/>
      <c r="N31" s="36"/>
      <c r="O31" s="37"/>
      <c r="P31" s="38"/>
      <c r="Q31" s="39"/>
    </row>
    <row r="32" spans="1:17" ht="12.75">
      <c r="A32" s="13" t="s">
        <v>33</v>
      </c>
      <c r="B32" s="34">
        <f>28.45-100.42</f>
        <v>-71.97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42"/>
      <c r="N32" s="36">
        <f>SUM(B32:M32)</f>
        <v>-71.97</v>
      </c>
      <c r="O32" s="37">
        <f>N32/6756/12</f>
        <v>-0.0008877294256956779</v>
      </c>
      <c r="P32" s="38">
        <f>893.33+74.18</f>
        <v>967.51</v>
      </c>
      <c r="Q32" s="39">
        <f>P32/6756/12</f>
        <v>0.01193395993684626</v>
      </c>
    </row>
    <row r="33" spans="1:17" ht="12.75">
      <c r="A33" s="13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31"/>
      <c r="O33" s="18"/>
      <c r="P33" s="43"/>
      <c r="Q33" s="44"/>
    </row>
    <row r="34" spans="1:17" ht="12.75">
      <c r="A34" s="45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46"/>
      <c r="N34" s="9"/>
      <c r="O34" s="10"/>
      <c r="P34" s="47"/>
      <c r="Q34" s="39"/>
    </row>
    <row r="35" spans="1:17" ht="12.75">
      <c r="A35" s="48"/>
      <c r="B35" s="34">
        <f>SUM(B8:B30)</f>
        <v>7787.2300000000005</v>
      </c>
      <c r="C35" s="35">
        <f>SUM(C8:C32)</f>
        <v>7639.9800000000005</v>
      </c>
      <c r="D35" s="35">
        <f>SUM(D8:D32)</f>
        <v>8053.34</v>
      </c>
      <c r="E35" s="35">
        <f>SUM(E8:E32)</f>
        <v>7709.28</v>
      </c>
      <c r="F35" s="35">
        <f>SUM(F8:F32)</f>
        <v>8925.74</v>
      </c>
      <c r="G35" s="35">
        <f>SUM(G8:G32)</f>
        <v>10008.38</v>
      </c>
      <c r="H35" s="35">
        <f>SUM(H8:H32)</f>
        <v>9281.75</v>
      </c>
      <c r="I35" s="35">
        <f>SUM(I8:I32)</f>
        <v>9415.54</v>
      </c>
      <c r="J35" s="35">
        <f>SUM(J8:J32)</f>
        <v>7496.89</v>
      </c>
      <c r="K35" s="35">
        <f>SUM(K8:K32)</f>
        <v>6588.25</v>
      </c>
      <c r="L35" s="35">
        <f>SUM(L8:L32)</f>
        <v>8018.389999999999</v>
      </c>
      <c r="M35" s="49">
        <f>SUM(M8:M32)</f>
        <v>23675.52</v>
      </c>
      <c r="N35" s="36">
        <f>SUM(N8:N30)</f>
        <v>114600.29</v>
      </c>
      <c r="O35" s="36">
        <f>SUM(O8:O32)</f>
        <v>1.412674166173278</v>
      </c>
      <c r="P35" s="47">
        <f>SUM(P8:P32)</f>
        <v>113667.51</v>
      </c>
      <c r="Q35" s="39">
        <f>SUM(Q8:Q32)</f>
        <v>1.4020563203078744</v>
      </c>
    </row>
    <row r="36" spans="1:17" ht="12.75">
      <c r="A36" s="50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51"/>
      <c r="N36" s="25"/>
      <c r="O36" s="26"/>
      <c r="P36" s="52"/>
      <c r="Q36" s="53"/>
    </row>
    <row r="37" spans="1:17" ht="12.75">
      <c r="A37" s="54" t="s">
        <v>33</v>
      </c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55"/>
      <c r="O37" s="56"/>
      <c r="P37" s="57"/>
      <c r="Q37" s="58"/>
    </row>
    <row r="38" spans="1:17" ht="12.75">
      <c r="A38" s="13" t="s">
        <v>34</v>
      </c>
      <c r="B38" s="34">
        <f>(B35-B26-B32)/6756*1133-22.13</f>
        <v>1295.8797098875075</v>
      </c>
      <c r="C38" s="35">
        <f>(C35-C26-C32)/6756*1133</f>
        <v>1281.2459058614565</v>
      </c>
      <c r="D38" s="35">
        <f>(D35-D26-D32)/6756*1133</f>
        <v>1350.56752812315</v>
      </c>
      <c r="E38" s="35">
        <f>(E35-E26-E32)/6756*1133</f>
        <v>1292.8677087033748</v>
      </c>
      <c r="F38" s="35">
        <f>(F35-F26-F32)/6756*1133</f>
        <v>1496.8714357608053</v>
      </c>
      <c r="G38" s="35">
        <f>(G35-G26-G32)/6756*1133</f>
        <v>1678.4331764357605</v>
      </c>
      <c r="H38" s="35">
        <f>(H35-H26-H32)/6756*1133</f>
        <v>1556.5753034339848</v>
      </c>
      <c r="I38" s="35">
        <f>(I35-I26-I32)/6756*1133</f>
        <v>1579.0122587329781</v>
      </c>
      <c r="J38" s="34">
        <f>(J35-J26-J32)/6756*1133</f>
        <v>1257.2493146832446</v>
      </c>
      <c r="K38" s="35">
        <f>(K35-K26-K32)/6756*1133</f>
        <v>1104.8678582001185</v>
      </c>
      <c r="L38" s="35">
        <f>(L35-L26-L32)/6756*1133</f>
        <v>1344.706315867377</v>
      </c>
      <c r="M38" s="35">
        <f>(M35-M32)/6756*1133</f>
        <v>3970.4505861456487</v>
      </c>
      <c r="N38" s="34">
        <f>SUM(B38:M38)</f>
        <v>19208.727101835408</v>
      </c>
      <c r="O38" s="59">
        <f>O35</f>
        <v>1.412674166173278</v>
      </c>
      <c r="P38" s="60">
        <f>P35</f>
        <v>113667.51</v>
      </c>
      <c r="Q38" s="59">
        <f>Q35</f>
        <v>1.4020563203078744</v>
      </c>
    </row>
    <row r="39" spans="1:17" ht="12.75">
      <c r="A39" s="61" t="s">
        <v>35</v>
      </c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5"/>
      <c r="O39" s="62"/>
      <c r="P39" s="63"/>
      <c r="Q39" s="64"/>
    </row>
    <row r="40" spans="3:13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7" ht="12.75">
      <c r="A41" s="65" t="s">
        <v>36</v>
      </c>
      <c r="B41" s="1">
        <f>+1077+56</f>
        <v>1133</v>
      </c>
      <c r="C41" s="1">
        <f>+1077+56</f>
        <v>1133</v>
      </c>
      <c r="D41" s="1">
        <f>+1077+56</f>
        <v>1133</v>
      </c>
      <c r="E41" s="1">
        <f>+1077+56</f>
        <v>1133</v>
      </c>
      <c r="F41" s="1">
        <f>+1077+56</f>
        <v>1133</v>
      </c>
      <c r="G41" s="1">
        <f>+1077+56</f>
        <v>1133</v>
      </c>
      <c r="H41" s="1">
        <f>+1077+56</f>
        <v>1133</v>
      </c>
      <c r="I41" s="1">
        <f>+1077+56</f>
        <v>1133</v>
      </c>
      <c r="J41" s="1">
        <f>+1077+56</f>
        <v>1133</v>
      </c>
      <c r="K41" s="1">
        <f>+1077+56</f>
        <v>1133</v>
      </c>
      <c r="L41" s="1">
        <f>+1077+56</f>
        <v>1133</v>
      </c>
      <c r="M41" s="1">
        <f>+1077+56</f>
        <v>1133</v>
      </c>
      <c r="P41" s="66"/>
      <c r="Q41" s="67"/>
    </row>
    <row r="42" spans="3:13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3:13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t="s">
        <v>37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t="s">
        <v>38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3:13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3:13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2">
        <v>2014</v>
      </c>
      <c r="B53" s="3" t="s">
        <v>39</v>
      </c>
      <c r="C53" s="68"/>
      <c r="D53" s="1"/>
      <c r="E53" s="1"/>
      <c r="F53" s="1"/>
      <c r="G53" s="1"/>
      <c r="H53" s="1"/>
      <c r="I53" s="1"/>
      <c r="J53" s="1"/>
      <c r="K53" s="1"/>
      <c r="L53" s="1"/>
      <c r="M53" s="4" t="s">
        <v>40</v>
      </c>
    </row>
    <row r="54" spans="1:13" ht="12.75">
      <c r="A54" s="2"/>
      <c r="B54" s="3"/>
      <c r="C54" s="68"/>
      <c r="D54" s="1"/>
      <c r="E54" s="1"/>
      <c r="F54" s="1"/>
      <c r="G54" s="1"/>
      <c r="H54" s="1"/>
      <c r="I54" s="1"/>
      <c r="J54" s="1"/>
      <c r="K54" s="1"/>
      <c r="L54" s="1"/>
      <c r="M54" s="5"/>
    </row>
    <row r="55" spans="1:17" ht="12.75">
      <c r="A55" s="6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8"/>
      <c r="N55" s="9"/>
      <c r="O55" s="10"/>
      <c r="P55" s="11" t="s">
        <v>3</v>
      </c>
      <c r="Q55" s="12"/>
    </row>
    <row r="56" spans="1:17" ht="12.75">
      <c r="A56" s="13" t="s">
        <v>4</v>
      </c>
      <c r="B56" s="14" t="s">
        <v>5</v>
      </c>
      <c r="C56" s="15" t="s">
        <v>6</v>
      </c>
      <c r="D56" s="15" t="s">
        <v>7</v>
      </c>
      <c r="E56" s="15" t="s">
        <v>8</v>
      </c>
      <c r="F56" s="15" t="s">
        <v>9</v>
      </c>
      <c r="G56" s="15" t="s">
        <v>10</v>
      </c>
      <c r="H56" s="15" t="s">
        <v>11</v>
      </c>
      <c r="I56" s="15" t="s">
        <v>12</v>
      </c>
      <c r="J56" s="15" t="s">
        <v>13</v>
      </c>
      <c r="K56" s="15" t="s">
        <v>14</v>
      </c>
      <c r="L56" s="15" t="s">
        <v>15</v>
      </c>
      <c r="M56" s="16" t="s">
        <v>16</v>
      </c>
      <c r="N56" s="17" t="s">
        <v>17</v>
      </c>
      <c r="O56" s="18" t="s">
        <v>18</v>
      </c>
      <c r="P56" s="19"/>
      <c r="Q56" s="20" t="s">
        <v>18</v>
      </c>
    </row>
    <row r="57" spans="1:17" ht="12.75">
      <c r="A57" s="21"/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4"/>
      <c r="N57" s="25"/>
      <c r="O57" s="26"/>
      <c r="P57" s="19" t="s">
        <v>19</v>
      </c>
      <c r="Q57" s="69" t="s">
        <v>20</v>
      </c>
    </row>
    <row r="58" spans="1:17" ht="12.75">
      <c r="A58" s="13"/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30"/>
      <c r="N58" s="31"/>
      <c r="O58" s="18"/>
      <c r="P58" s="32"/>
      <c r="Q58" s="70"/>
    </row>
    <row r="59" spans="1:17" ht="12.75">
      <c r="A59" s="13" t="s">
        <v>21</v>
      </c>
      <c r="B59" s="34">
        <v>1200</v>
      </c>
      <c r="C59" s="35">
        <v>1200</v>
      </c>
      <c r="D59" s="35">
        <v>1200</v>
      </c>
      <c r="E59" s="35">
        <v>1200</v>
      </c>
      <c r="F59" s="35">
        <v>1200</v>
      </c>
      <c r="G59" s="35">
        <v>1200</v>
      </c>
      <c r="H59" s="35">
        <v>1200</v>
      </c>
      <c r="I59" s="35">
        <v>1200</v>
      </c>
      <c r="J59" s="35">
        <v>1200</v>
      </c>
      <c r="K59" s="35">
        <v>1200</v>
      </c>
      <c r="L59" s="35">
        <v>1200</v>
      </c>
      <c r="M59" s="35">
        <v>1200</v>
      </c>
      <c r="N59" s="36">
        <f>SUM(B59:M59)</f>
        <v>14400</v>
      </c>
      <c r="O59" s="37">
        <f>N59/3276.8/12</f>
        <v>0.3662109375</v>
      </c>
      <c r="P59" s="38">
        <v>15000</v>
      </c>
      <c r="Q59" s="39">
        <f>P59/3276.8/12</f>
        <v>0.3814697265625</v>
      </c>
    </row>
    <row r="60" spans="1:17" ht="12.75">
      <c r="A60" s="40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42"/>
      <c r="N60" s="36"/>
      <c r="O60" s="37"/>
      <c r="P60" s="38"/>
      <c r="Q60" s="39"/>
    </row>
    <row r="61" spans="1:17" ht="12.75">
      <c r="A61" s="13" t="s">
        <v>41</v>
      </c>
      <c r="B61" s="34">
        <v>857.61</v>
      </c>
      <c r="C61" s="35"/>
      <c r="D61" s="35">
        <v>648.09</v>
      </c>
      <c r="E61" s="35"/>
      <c r="F61" s="35">
        <f>235.41+64.53+73.03+69.83+198.26</f>
        <v>641.06</v>
      </c>
      <c r="G61" s="35"/>
      <c r="H61" s="35">
        <f>59.21+46.48+199.33+58.7+139.89</f>
        <v>503.60999999999996</v>
      </c>
      <c r="I61" s="35"/>
      <c r="J61" s="35">
        <f>108.18+54.98+67.18+65.07+12.93</f>
        <v>308.34</v>
      </c>
      <c r="K61" s="35"/>
      <c r="L61" s="35">
        <v>736.59</v>
      </c>
      <c r="M61" s="42"/>
      <c r="N61" s="36">
        <f>SUM(B61:M61)</f>
        <v>3695.3</v>
      </c>
      <c r="O61" s="37">
        <f>N61/3276.8/12</f>
        <v>0.09397633870442708</v>
      </c>
      <c r="P61" s="38">
        <v>3900</v>
      </c>
      <c r="Q61" s="39">
        <f>P61/3276.8/12</f>
        <v>0.09918212890625</v>
      </c>
    </row>
    <row r="62" spans="1:17" ht="12.75">
      <c r="A62" s="1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42"/>
      <c r="N62" s="36"/>
      <c r="O62" s="37"/>
      <c r="P62" s="38"/>
      <c r="Q62" s="39"/>
    </row>
    <row r="63" spans="1:17" ht="12.75">
      <c r="A63" s="13" t="s">
        <v>24</v>
      </c>
      <c r="B63" s="34">
        <v>175</v>
      </c>
      <c r="C63" s="35">
        <v>540</v>
      </c>
      <c r="D63" s="35">
        <v>890</v>
      </c>
      <c r="E63" s="35">
        <v>520</v>
      </c>
      <c r="F63" s="35">
        <f>190+350</f>
        <v>540</v>
      </c>
      <c r="G63" s="35">
        <v>380</v>
      </c>
      <c r="H63" s="35">
        <f>190+350</f>
        <v>540</v>
      </c>
      <c r="I63" s="35">
        <v>370</v>
      </c>
      <c r="J63" s="35">
        <f>700+190+190</f>
        <v>1080</v>
      </c>
      <c r="K63" s="35">
        <v>350</v>
      </c>
      <c r="L63" s="35">
        <v>350</v>
      </c>
      <c r="M63" s="42">
        <v>920</v>
      </c>
      <c r="N63" s="36">
        <f>SUM(B63:M63)</f>
        <v>6655</v>
      </c>
      <c r="O63" s="37">
        <f>N63/3276.8/12</f>
        <v>0.16924540201822916</v>
      </c>
      <c r="P63" s="38">
        <v>7000</v>
      </c>
      <c r="Q63" s="39">
        <f>P63/3276.8/12</f>
        <v>0.17801920572916666</v>
      </c>
    </row>
    <row r="64" spans="1:17" ht="12.75">
      <c r="A64" s="13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42"/>
      <c r="N64" s="36"/>
      <c r="O64" s="37"/>
      <c r="P64" s="38"/>
      <c r="Q64" s="39"/>
    </row>
    <row r="65" spans="1:17" ht="12.75">
      <c r="A65" s="13" t="s">
        <v>27</v>
      </c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42"/>
      <c r="N65" s="36">
        <f>SUM(B65:M65)</f>
        <v>0</v>
      </c>
      <c r="O65" s="37">
        <f>N65/3276.8/12</f>
        <v>0</v>
      </c>
      <c r="P65" s="38">
        <v>0</v>
      </c>
      <c r="Q65" s="39">
        <f>P65/3276.8/12</f>
        <v>0</v>
      </c>
    </row>
    <row r="66" spans="1:17" ht="12.75">
      <c r="A66" s="13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42"/>
      <c r="N66" s="36"/>
      <c r="O66" s="37"/>
      <c r="P66" s="38"/>
      <c r="Q66" s="39"/>
    </row>
    <row r="67" spans="1:17" ht="12.75">
      <c r="A67" s="13" t="s">
        <v>25</v>
      </c>
      <c r="B67" s="34"/>
      <c r="C67" s="35"/>
      <c r="D67" s="35"/>
      <c r="E67" s="35"/>
      <c r="F67" s="35">
        <v>667</v>
      </c>
      <c r="G67" s="35"/>
      <c r="H67" s="35"/>
      <c r="I67" s="35"/>
      <c r="J67" s="35"/>
      <c r="K67" s="35"/>
      <c r="L67" s="35"/>
      <c r="M67" s="42" t="s">
        <v>2</v>
      </c>
      <c r="N67" s="36">
        <f>SUM(B67:M67)</f>
        <v>667</v>
      </c>
      <c r="O67" s="37">
        <f>N67/3276.8/12</f>
        <v>0.016962687174479168</v>
      </c>
      <c r="P67" s="38">
        <v>1600</v>
      </c>
      <c r="Q67" s="39">
        <f>P67/3276.8/12</f>
        <v>0.040690104166666664</v>
      </c>
    </row>
    <row r="68" spans="1:17" ht="12.75">
      <c r="A68" s="13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42"/>
      <c r="N68" s="36"/>
      <c r="O68" s="37"/>
      <c r="P68" s="38"/>
      <c r="Q68" s="39"/>
    </row>
    <row r="69" spans="1:17" ht="12.75">
      <c r="A69" s="13" t="s">
        <v>26</v>
      </c>
      <c r="B69" s="34">
        <f>67.65</f>
        <v>67.65</v>
      </c>
      <c r="C69" s="35">
        <v>64.46</v>
      </c>
      <c r="D69" s="35">
        <v>0</v>
      </c>
      <c r="E69" s="35">
        <f>155.16</f>
        <v>155.16</v>
      </c>
      <c r="F69" s="35">
        <f>47.96+126.92+221.4</f>
        <v>396.28</v>
      </c>
      <c r="G69" s="35">
        <f>165+73.8+100</f>
        <v>338.8</v>
      </c>
      <c r="H69" s="35">
        <f>81.11</f>
        <v>81.11</v>
      </c>
      <c r="I69" s="35"/>
      <c r="J69" s="35">
        <f>60.48+145.47+23.58+32.4</f>
        <v>261.92999999999995</v>
      </c>
      <c r="K69" s="35">
        <f>108.24+45.23+41.99</f>
        <v>195.46</v>
      </c>
      <c r="L69" s="35">
        <f>28.51</f>
        <v>28.51</v>
      </c>
      <c r="M69" s="42"/>
      <c r="N69" s="36">
        <f>SUM(B69:M69)</f>
        <v>1589.36</v>
      </c>
      <c r="O69" s="37">
        <f>N69/3276.8/12</f>
        <v>0.04041951497395833</v>
      </c>
      <c r="P69" s="38">
        <v>0</v>
      </c>
      <c r="Q69" s="39">
        <f>P69/3276.8/12</f>
        <v>0</v>
      </c>
    </row>
    <row r="70" spans="1:17" ht="12.75">
      <c r="A70" s="13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42"/>
      <c r="N70" s="36"/>
      <c r="O70" s="37"/>
      <c r="P70" s="38"/>
      <c r="Q70" s="39"/>
    </row>
    <row r="71" spans="1:17" ht="12.75">
      <c r="A71" s="13" t="s">
        <v>29</v>
      </c>
      <c r="B71" s="34">
        <f>365+365</f>
        <v>730</v>
      </c>
      <c r="C71" s="35">
        <v>370</v>
      </c>
      <c r="D71" s="35"/>
      <c r="E71" s="35"/>
      <c r="F71" s="35"/>
      <c r="G71" s="35"/>
      <c r="H71" s="35">
        <v>730</v>
      </c>
      <c r="I71" s="35">
        <v>350</v>
      </c>
      <c r="J71" s="35"/>
      <c r="K71" s="35"/>
      <c r="L71" s="35"/>
      <c r="M71" s="42"/>
      <c r="N71" s="36">
        <f>SUM(B71:M71)</f>
        <v>2180</v>
      </c>
      <c r="O71" s="37">
        <f>N71/3276.8/12</f>
        <v>0.055440266927083336</v>
      </c>
      <c r="P71" s="38">
        <v>2200</v>
      </c>
      <c r="Q71" s="39">
        <f>P71/3276.8/12</f>
        <v>0.055948893229166664</v>
      </c>
    </row>
    <row r="72" spans="1:17" ht="12.75">
      <c r="A72" s="13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42"/>
      <c r="N72" s="36"/>
      <c r="O72" s="37"/>
      <c r="P72" s="38"/>
      <c r="Q72" s="39"/>
    </row>
    <row r="73" spans="1:17" ht="12.75">
      <c r="A73" s="13" t="s">
        <v>31</v>
      </c>
      <c r="B73" s="34">
        <v>1878.43</v>
      </c>
      <c r="C73" s="35">
        <v>1726.15</v>
      </c>
      <c r="D73" s="35">
        <v>1823.63</v>
      </c>
      <c r="E73" s="35">
        <v>1777.54</v>
      </c>
      <c r="F73" s="35">
        <v>1806.03</v>
      </c>
      <c r="G73" s="35">
        <v>2782.21</v>
      </c>
      <c r="H73" s="35">
        <v>1876.77</v>
      </c>
      <c r="I73" s="35">
        <v>1854.45</v>
      </c>
      <c r="J73" s="35">
        <v>1734.26</v>
      </c>
      <c r="K73" s="35">
        <v>1945.77</v>
      </c>
      <c r="L73" s="35">
        <v>1962.59</v>
      </c>
      <c r="M73" s="42">
        <f>2141.07+1561.61</f>
        <v>3702.6800000000003</v>
      </c>
      <c r="N73" s="36">
        <f>SUM(B73:M73)</f>
        <v>24870.510000000002</v>
      </c>
      <c r="O73" s="37">
        <f>N73/3276.8/12</f>
        <v>0.6324897766113281</v>
      </c>
      <c r="P73" s="38">
        <v>26800</v>
      </c>
      <c r="Q73" s="39">
        <f>P73/3276.8/12</f>
        <v>0.6815592447916666</v>
      </c>
    </row>
    <row r="74" spans="1:17" ht="12.75">
      <c r="A74" s="1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42"/>
      <c r="N74" s="36"/>
      <c r="O74" s="37"/>
      <c r="P74" s="38"/>
      <c r="Q74" s="39"/>
    </row>
    <row r="75" spans="1:17" ht="12.75">
      <c r="A75" s="13" t="s">
        <v>42</v>
      </c>
      <c r="B75" s="34">
        <v>332.25</v>
      </c>
      <c r="C75" s="35">
        <v>289.88</v>
      </c>
      <c r="D75" s="35">
        <v>136.78</v>
      </c>
      <c r="E75" s="35">
        <v>576.72</v>
      </c>
      <c r="F75" s="35">
        <v>296.58</v>
      </c>
      <c r="G75" s="35">
        <v>109.62</v>
      </c>
      <c r="H75" s="35">
        <v>845.13</v>
      </c>
      <c r="I75" s="35">
        <v>75.11</v>
      </c>
      <c r="J75" s="35">
        <v>70.47</v>
      </c>
      <c r="K75" s="35">
        <v>101.3</v>
      </c>
      <c r="L75" s="35">
        <v>289.35</v>
      </c>
      <c r="M75" s="42">
        <v>348.16</v>
      </c>
      <c r="N75" s="36">
        <f>SUM(B75:M75)</f>
        <v>3471.35</v>
      </c>
      <c r="O75" s="37">
        <f>N75/3276.8/12</f>
        <v>0.08828099568684895</v>
      </c>
      <c r="P75" s="38">
        <v>3750</v>
      </c>
      <c r="Q75" s="39">
        <f>P75/3276.8/12</f>
        <v>0.095367431640625</v>
      </c>
    </row>
    <row r="76" spans="1:17" ht="12.75">
      <c r="A76" s="1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42"/>
      <c r="N76" s="36"/>
      <c r="O76" s="37"/>
      <c r="P76" s="38"/>
      <c r="Q76" s="39"/>
    </row>
    <row r="77" spans="1:17" ht="12.75">
      <c r="A77" s="13" t="s">
        <v>30</v>
      </c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42">
        <v>5541.2</v>
      </c>
      <c r="N77" s="36">
        <f>SUM(B77:M77)</f>
        <v>5541.2</v>
      </c>
      <c r="O77" s="37">
        <f>N77/3276.8/12</f>
        <v>0.14092000325520831</v>
      </c>
      <c r="P77" s="38">
        <v>0</v>
      </c>
      <c r="Q77" s="39">
        <f>P77/3276.8/12</f>
        <v>0</v>
      </c>
    </row>
    <row r="78" spans="1:17" ht="12.75">
      <c r="A78" s="13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42"/>
      <c r="N78" s="36"/>
      <c r="O78" s="37"/>
      <c r="P78" s="38"/>
      <c r="Q78" s="39"/>
    </row>
    <row r="79" spans="1:17" ht="12.75">
      <c r="A79" s="13" t="s">
        <v>43</v>
      </c>
      <c r="B79" s="34">
        <f>9+30+12</f>
        <v>51</v>
      </c>
      <c r="C79" s="35">
        <v>1600</v>
      </c>
      <c r="D79" s="35">
        <v>240</v>
      </c>
      <c r="E79" s="35"/>
      <c r="F79" s="35">
        <f>132+21+640.5+66+9</f>
        <v>868.5</v>
      </c>
      <c r="G79" s="35"/>
      <c r="H79" s="35">
        <v>66.42</v>
      </c>
      <c r="I79" s="35">
        <f>29.52+59.04</f>
        <v>88.56</v>
      </c>
      <c r="J79" s="35">
        <v>-60</v>
      </c>
      <c r="K79" s="35"/>
      <c r="L79" s="35">
        <v>0</v>
      </c>
      <c r="M79" s="42">
        <v>41.9</v>
      </c>
      <c r="N79" s="36">
        <f>SUM(B79:M79)</f>
        <v>2896.38</v>
      </c>
      <c r="O79" s="37">
        <f>N79/3276.8/12</f>
        <v>0.07365875244140625</v>
      </c>
      <c r="P79" s="38">
        <v>0</v>
      </c>
      <c r="Q79" s="39">
        <f>P79/3276.8/12</f>
        <v>0</v>
      </c>
    </row>
    <row r="80" spans="1:17" ht="12.75">
      <c r="A80" s="13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42"/>
      <c r="N80" s="36"/>
      <c r="O80" s="37"/>
      <c r="P80" s="38"/>
      <c r="Q80" s="39"/>
    </row>
    <row r="81" spans="1:17" ht="12.75">
      <c r="A81" s="13" t="s">
        <v>44</v>
      </c>
      <c r="B81" s="34">
        <v>21</v>
      </c>
      <c r="C81" s="35"/>
      <c r="D81" s="35">
        <v>15</v>
      </c>
      <c r="E81" s="35"/>
      <c r="F81" s="35"/>
      <c r="G81" s="35">
        <f>4000+90</f>
        <v>4090</v>
      </c>
      <c r="H81" s="35">
        <v>21</v>
      </c>
      <c r="I81" s="35"/>
      <c r="J81" s="35"/>
      <c r="K81" s="35"/>
      <c r="L81" s="35">
        <v>21</v>
      </c>
      <c r="M81" s="42"/>
      <c r="N81" s="36">
        <f>SUM(B81:M81)</f>
        <v>4168</v>
      </c>
      <c r="O81" s="37">
        <f>N81/3276.8/12</f>
        <v>0.10599772135416667</v>
      </c>
      <c r="P81" s="38">
        <v>0</v>
      </c>
      <c r="Q81" s="39">
        <f>P81/3276.8/12</f>
        <v>0</v>
      </c>
    </row>
    <row r="82" spans="1:17" ht="12.75">
      <c r="A82" s="13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42"/>
      <c r="N82" s="36"/>
      <c r="O82" s="37"/>
      <c r="P82" s="38"/>
      <c r="Q82" s="39"/>
    </row>
    <row r="83" spans="1:17" ht="12.75">
      <c r="A83" s="13" t="s">
        <v>33</v>
      </c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42"/>
      <c r="N83" s="36">
        <f>SUM(B83:M83)</f>
        <v>0</v>
      </c>
      <c r="O83" s="37">
        <f>N83/3276.8/12</f>
        <v>0</v>
      </c>
      <c r="P83" s="38">
        <v>-1438.38</v>
      </c>
      <c r="Q83" s="39">
        <f>P83/3276.8/12</f>
        <v>-0.03657989501953125</v>
      </c>
    </row>
    <row r="84" spans="1:17" ht="12.75">
      <c r="A84" s="13"/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30"/>
      <c r="N84" s="36"/>
      <c r="O84" s="37"/>
      <c r="P84" s="71"/>
      <c r="Q84" s="44"/>
    </row>
    <row r="85" spans="1:17" ht="12.75">
      <c r="A85" s="45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46"/>
      <c r="N85" s="55"/>
      <c r="O85" s="72"/>
      <c r="P85" s="38"/>
      <c r="Q85" s="39"/>
    </row>
    <row r="86" spans="1:17" ht="12.75">
      <c r="A86" s="48"/>
      <c r="B86" s="34">
        <f>SUM(B59:B83)</f>
        <v>5312.9400000000005</v>
      </c>
      <c r="C86" s="35">
        <f>SUM(C59:C83)</f>
        <v>5790.49</v>
      </c>
      <c r="D86" s="35">
        <f>SUM(D59:D83)</f>
        <v>4953.5</v>
      </c>
      <c r="E86" s="35">
        <f>SUM(E59:E83)</f>
        <v>4229.42</v>
      </c>
      <c r="F86" s="35">
        <f>SUM(F59:F83)</f>
        <v>6415.45</v>
      </c>
      <c r="G86" s="35">
        <f>SUM(G59:G83)</f>
        <v>8900.630000000001</v>
      </c>
      <c r="H86" s="35">
        <f>SUM(H59:H83)</f>
        <v>5864.04</v>
      </c>
      <c r="I86" s="35">
        <f>SUM(I59:I83)</f>
        <v>3938.12</v>
      </c>
      <c r="J86" s="35">
        <f>SUM(J59:J83)</f>
        <v>4595</v>
      </c>
      <c r="K86" s="35">
        <f>SUM(K59:K83)</f>
        <v>3792.53</v>
      </c>
      <c r="L86" s="35">
        <f>SUM(L59:L83)</f>
        <v>4588.04</v>
      </c>
      <c r="M86" s="49">
        <f>SUM(M59:M83)</f>
        <v>11753.94</v>
      </c>
      <c r="N86" s="36">
        <f>SUM(N59:N81)</f>
        <v>70134.09999999999</v>
      </c>
      <c r="O86" s="36">
        <f>SUM(O55:O83)</f>
        <v>1.7836023966471353</v>
      </c>
      <c r="P86" s="38">
        <f>SUM(P55:P83)</f>
        <v>58811.62</v>
      </c>
      <c r="Q86" s="39">
        <f>SUM(Q55:Q83)</f>
        <v>1.4956568400065102</v>
      </c>
    </row>
    <row r="87" spans="1:17" ht="12.75">
      <c r="A87" s="50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51"/>
      <c r="N87" s="73"/>
      <c r="O87" s="74"/>
      <c r="P87" s="71"/>
      <c r="Q87" s="44"/>
    </row>
    <row r="88" spans="1:17" ht="12.75">
      <c r="A88" s="54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55"/>
      <c r="O88" s="56"/>
      <c r="P88" s="57"/>
      <c r="Q88" s="58"/>
    </row>
    <row r="89" spans="1:17" ht="12.75">
      <c r="A89" s="13" t="s">
        <v>45</v>
      </c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36"/>
      <c r="O89" s="59">
        <f>N89/3276.8/12</f>
        <v>0</v>
      </c>
      <c r="P89" s="60"/>
      <c r="Q89" s="59">
        <f>P89/3276.8/12</f>
        <v>0</v>
      </c>
    </row>
    <row r="90" spans="1:17" ht="12.75">
      <c r="A90" s="61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5"/>
      <c r="O90" s="62"/>
      <c r="P90" s="63"/>
      <c r="Q90" s="64"/>
    </row>
    <row r="91" spans="3:13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t="s">
        <v>46</v>
      </c>
      <c r="B94" t="s">
        <v>47</v>
      </c>
      <c r="C94" s="1" t="s">
        <v>46</v>
      </c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75" t="s">
        <v>48</v>
      </c>
      <c r="B95" s="76">
        <v>4012.81</v>
      </c>
      <c r="C95" s="77">
        <v>7537.54</v>
      </c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75" t="s">
        <v>49</v>
      </c>
      <c r="B96" s="78">
        <f>1041.6*5.3*6+885.8*5.3*6</f>
        <v>61291.31999999999</v>
      </c>
      <c r="C96" s="79">
        <v>149757.34</v>
      </c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75" t="s">
        <v>50</v>
      </c>
      <c r="B97" s="79">
        <v>62286.39</v>
      </c>
      <c r="C97" s="79">
        <v>147903.44</v>
      </c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75" t="s">
        <v>43</v>
      </c>
      <c r="B98" s="79">
        <f>3043.38/3278.6*1041.6</f>
        <v>966.8714109680961</v>
      </c>
      <c r="C98" s="79">
        <f>3043.38/3278.6*2237</f>
        <v>2076.508589031904</v>
      </c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75" t="s">
        <v>51</v>
      </c>
      <c r="B99" s="77">
        <v>2000</v>
      </c>
      <c r="C99" s="77">
        <v>2000</v>
      </c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75"/>
      <c r="B100" s="77">
        <f>B95+B96-B97-B98-B99</f>
        <v>50.86858903189477</v>
      </c>
      <c r="C100" s="77">
        <f>C95+C96-C97-C98-C99</f>
        <v>5314.931410968098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75"/>
      <c r="B101" s="76"/>
      <c r="C101" s="77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2">
        <v>2014</v>
      </c>
      <c r="B104" s="3" t="s">
        <v>52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" t="s">
        <v>53</v>
      </c>
    </row>
    <row r="105" spans="1:13" ht="12.75">
      <c r="A105" s="2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5"/>
    </row>
    <row r="106" spans="1:17" ht="12.75">
      <c r="A106" s="6"/>
      <c r="B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8"/>
      <c r="N106" s="9"/>
      <c r="O106" s="10"/>
      <c r="P106" s="11" t="s">
        <v>3</v>
      </c>
      <c r="Q106" s="12"/>
    </row>
    <row r="107" spans="1:17" ht="12.75">
      <c r="A107" s="13" t="s">
        <v>4</v>
      </c>
      <c r="B107" s="14" t="s">
        <v>5</v>
      </c>
      <c r="C107" s="15" t="s">
        <v>6</v>
      </c>
      <c r="D107" s="15" t="s">
        <v>7</v>
      </c>
      <c r="E107" s="15" t="s">
        <v>8</v>
      </c>
      <c r="F107" s="15" t="s">
        <v>9</v>
      </c>
      <c r="G107" s="15" t="s">
        <v>10</v>
      </c>
      <c r="H107" s="15" t="s">
        <v>11</v>
      </c>
      <c r="I107" s="15" t="s">
        <v>12</v>
      </c>
      <c r="J107" s="15" t="s">
        <v>13</v>
      </c>
      <c r="K107" s="15" t="s">
        <v>14</v>
      </c>
      <c r="L107" s="15" t="s">
        <v>15</v>
      </c>
      <c r="M107" s="16" t="s">
        <v>16</v>
      </c>
      <c r="N107" s="17" t="s">
        <v>17</v>
      </c>
      <c r="O107" s="18" t="s">
        <v>18</v>
      </c>
      <c r="P107" s="19"/>
      <c r="Q107" s="20" t="s">
        <v>18</v>
      </c>
    </row>
    <row r="108" spans="1:17" ht="12.75">
      <c r="A108" s="21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4"/>
      <c r="N108" s="25"/>
      <c r="O108" s="26"/>
      <c r="P108" s="19" t="s">
        <v>19</v>
      </c>
      <c r="Q108" s="69" t="s">
        <v>20</v>
      </c>
    </row>
    <row r="109" spans="1:17" ht="12.75">
      <c r="A109" s="13"/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30"/>
      <c r="N109" s="31"/>
      <c r="O109" s="37"/>
      <c r="P109" s="32"/>
      <c r="Q109" s="70"/>
    </row>
    <row r="110" spans="1:17" ht="12.75">
      <c r="A110" s="13" t="s">
        <v>21</v>
      </c>
      <c r="B110" s="34">
        <v>250</v>
      </c>
      <c r="C110" s="35">
        <v>250</v>
      </c>
      <c r="D110" s="35">
        <v>250</v>
      </c>
      <c r="E110" s="35">
        <v>250</v>
      </c>
      <c r="F110" s="35">
        <v>250</v>
      </c>
      <c r="G110" s="35">
        <v>250</v>
      </c>
      <c r="H110" s="35">
        <v>250</v>
      </c>
      <c r="I110" s="35">
        <v>250</v>
      </c>
      <c r="J110" s="35">
        <v>250</v>
      </c>
      <c r="K110" s="35">
        <v>250</v>
      </c>
      <c r="L110" s="35">
        <v>250</v>
      </c>
      <c r="M110" s="35">
        <v>250</v>
      </c>
      <c r="N110" s="36">
        <f>SUM(B110:M110)</f>
        <v>3000</v>
      </c>
      <c r="O110" s="37">
        <f>N110/622.8/12</f>
        <v>0.40141297366730894</v>
      </c>
      <c r="P110" s="38">
        <v>3200</v>
      </c>
      <c r="Q110" s="39">
        <f>P110/622.8/12</f>
        <v>0.42817383857846286</v>
      </c>
    </row>
    <row r="111" spans="1:17" ht="12.75">
      <c r="A111" s="40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42"/>
      <c r="N111" s="36"/>
      <c r="O111" s="37"/>
      <c r="P111" s="38"/>
      <c r="Q111" s="39"/>
    </row>
    <row r="112" spans="1:17" ht="12.75">
      <c r="A112" s="13" t="s">
        <v>41</v>
      </c>
      <c r="B112" s="34">
        <v>49.82</v>
      </c>
      <c r="C112" s="35"/>
      <c r="D112" s="35">
        <v>55.03</v>
      </c>
      <c r="E112" s="35"/>
      <c r="F112" s="35">
        <f>28.04+27.52</f>
        <v>55.56</v>
      </c>
      <c r="G112" s="35"/>
      <c r="H112" s="35">
        <f>21.14+23.27</f>
        <v>44.41</v>
      </c>
      <c r="I112" s="35"/>
      <c r="J112" s="35">
        <f>24.86+26.99</f>
        <v>51.849999999999994</v>
      </c>
      <c r="K112" s="35"/>
      <c r="L112" s="35">
        <v>64.59</v>
      </c>
      <c r="M112" s="42"/>
      <c r="N112" s="36">
        <f>SUM(B112:M112)</f>
        <v>321.26</v>
      </c>
      <c r="O112" s="37">
        <f>N112/622.8/12</f>
        <v>0.042985977306786556</v>
      </c>
      <c r="P112" s="38">
        <v>350</v>
      </c>
      <c r="Q112" s="39">
        <f>P112/622.8/12</f>
        <v>0.046831513594519376</v>
      </c>
    </row>
    <row r="113" spans="1:17" ht="12.75">
      <c r="A113" s="1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42"/>
      <c r="N113" s="36"/>
      <c r="O113" s="37"/>
      <c r="P113" s="38"/>
      <c r="Q113" s="39"/>
    </row>
    <row r="114" spans="1:17" ht="12.75">
      <c r="A114" s="13" t="s">
        <v>54</v>
      </c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42">
        <v>490.88</v>
      </c>
      <c r="N114" s="36">
        <f>SUM(B114:M114)</f>
        <v>490.88</v>
      </c>
      <c r="O114" s="37">
        <f>N114/622.8/12</f>
        <v>0.06568186683793621</v>
      </c>
      <c r="P114" s="38">
        <v>550</v>
      </c>
      <c r="Q114" s="39">
        <f>P114/622.8/12</f>
        <v>0.07359237850567331</v>
      </c>
    </row>
    <row r="115" spans="1:17" ht="12.75">
      <c r="A115" s="1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42"/>
      <c r="N115" s="36"/>
      <c r="O115" s="37"/>
      <c r="P115" s="38"/>
      <c r="Q115" s="39"/>
    </row>
    <row r="116" spans="1:17" ht="12.75">
      <c r="A116" s="13" t="s">
        <v>24</v>
      </c>
      <c r="B116" s="34">
        <v>35</v>
      </c>
      <c r="C116" s="35">
        <v>120</v>
      </c>
      <c r="D116" s="35">
        <v>210</v>
      </c>
      <c r="E116" s="35">
        <v>130</v>
      </c>
      <c r="F116" s="35">
        <f>50+80</f>
        <v>130</v>
      </c>
      <c r="G116" s="35">
        <v>100</v>
      </c>
      <c r="H116" s="35">
        <v>130</v>
      </c>
      <c r="I116" s="35">
        <v>80</v>
      </c>
      <c r="J116" s="35">
        <f>160+50+50</f>
        <v>260</v>
      </c>
      <c r="K116" s="35">
        <v>80</v>
      </c>
      <c r="L116" s="35">
        <v>80</v>
      </c>
      <c r="M116" s="35">
        <v>219.8</v>
      </c>
      <c r="N116" s="36">
        <f>SUM(B116:M116)</f>
        <v>1574.8</v>
      </c>
      <c r="O116" s="37">
        <f>N116/622.8/12</f>
        <v>0.21071505031042603</v>
      </c>
      <c r="P116" s="38">
        <v>1500</v>
      </c>
      <c r="Q116" s="39">
        <f>P116/622.8/12</f>
        <v>0.20070648683365447</v>
      </c>
    </row>
    <row r="117" spans="1:17" ht="12.75">
      <c r="A117" s="1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42"/>
      <c r="N117" s="36"/>
      <c r="O117" s="37"/>
      <c r="P117" s="38"/>
      <c r="Q117" s="39"/>
    </row>
    <row r="118" spans="1:17" ht="12.75">
      <c r="A118" s="13" t="s">
        <v>25</v>
      </c>
      <c r="B118" s="34"/>
      <c r="C118" s="35"/>
      <c r="D118" s="35"/>
      <c r="E118" s="35"/>
      <c r="F118" s="35">
        <v>444</v>
      </c>
      <c r="G118" s="35"/>
      <c r="H118" s="35"/>
      <c r="I118" s="35"/>
      <c r="J118" s="35"/>
      <c r="K118" s="35"/>
      <c r="L118" s="35"/>
      <c r="M118" s="42">
        <v>0</v>
      </c>
      <c r="N118" s="36">
        <f>SUM(B118:M118)</f>
        <v>444</v>
      </c>
      <c r="O118" s="37">
        <f>N118/622.8/12</f>
        <v>0.059409120102761726</v>
      </c>
      <c r="P118" s="38">
        <v>600</v>
      </c>
      <c r="Q118" s="39">
        <f>P118/622.8/12</f>
        <v>0.08028259473346179</v>
      </c>
    </row>
    <row r="119" spans="1:17" ht="12.75">
      <c r="A119" s="1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42"/>
      <c r="N119" s="36"/>
      <c r="O119" s="37"/>
      <c r="P119" s="38"/>
      <c r="Q119" s="39"/>
    </row>
    <row r="120" spans="1:17" ht="12.75">
      <c r="A120" s="13" t="s">
        <v>26</v>
      </c>
      <c r="B120" s="34">
        <v>0</v>
      </c>
      <c r="C120" s="35"/>
      <c r="D120" s="35">
        <v>0</v>
      </c>
      <c r="E120" s="35"/>
      <c r="F120" s="35">
        <v>15.98</v>
      </c>
      <c r="G120" s="35">
        <v>18.99</v>
      </c>
      <c r="H120" s="35"/>
      <c r="I120" s="35"/>
      <c r="J120" s="35"/>
      <c r="K120" s="35"/>
      <c r="L120" s="35"/>
      <c r="M120" s="42"/>
      <c r="N120" s="36">
        <f>SUM(B120:M120)</f>
        <v>34.97</v>
      </c>
      <c r="O120" s="37">
        <f>N120/622.8/12</f>
        <v>0.004679137229715265</v>
      </c>
      <c r="P120" s="38">
        <v>0</v>
      </c>
      <c r="Q120" s="39">
        <f>P120/622.8/12</f>
        <v>0</v>
      </c>
    </row>
    <row r="121" spans="1:17" ht="12.75">
      <c r="A121" s="1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42"/>
      <c r="N121" s="36"/>
      <c r="O121" s="37"/>
      <c r="P121" s="38"/>
      <c r="Q121" s="39"/>
    </row>
    <row r="122" spans="1:17" ht="12.75">
      <c r="A122" s="13" t="s">
        <v>29</v>
      </c>
      <c r="B122" s="34"/>
      <c r="C122" s="35">
        <v>243</v>
      </c>
      <c r="D122" s="35"/>
      <c r="E122" s="35"/>
      <c r="F122" s="35"/>
      <c r="G122" s="35"/>
      <c r="H122" s="35"/>
      <c r="I122" s="35">
        <v>242</v>
      </c>
      <c r="J122" s="35"/>
      <c r="K122" s="35"/>
      <c r="L122" s="35"/>
      <c r="M122" s="42"/>
      <c r="N122" s="36">
        <f>SUM(B122:M122)</f>
        <v>485</v>
      </c>
      <c r="O122" s="37">
        <f>N122/622.8/12</f>
        <v>0.06489509740954828</v>
      </c>
      <c r="P122" s="38">
        <v>450</v>
      </c>
      <c r="Q122" s="39">
        <f>P122/622.8/12</f>
        <v>0.06021194605009634</v>
      </c>
    </row>
    <row r="123" spans="1:17" ht="12.75">
      <c r="A123" s="1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42"/>
      <c r="N123" s="36"/>
      <c r="O123" s="37"/>
      <c r="P123" s="38"/>
      <c r="Q123" s="39"/>
    </row>
    <row r="124" spans="1:17" ht="12.75">
      <c r="A124" s="13" t="s">
        <v>30</v>
      </c>
      <c r="B124" s="34"/>
      <c r="C124" s="35"/>
      <c r="D124" s="35"/>
      <c r="E124" s="35"/>
      <c r="F124" s="35"/>
      <c r="G124" s="35"/>
      <c r="H124" s="35"/>
      <c r="I124" s="35"/>
      <c r="J124" s="35">
        <v>0</v>
      </c>
      <c r="K124" s="35"/>
      <c r="L124" s="35"/>
      <c r="M124" s="42">
        <v>1052.6</v>
      </c>
      <c r="N124" s="36">
        <f>SUM(B124:M124)</f>
        <v>1052.6</v>
      </c>
      <c r="O124" s="37">
        <f>N124/622.8/12</f>
        <v>0.14084243202740312</v>
      </c>
      <c r="P124" s="38">
        <v>0</v>
      </c>
      <c r="Q124" s="39">
        <f>P124/622.8/12</f>
        <v>0</v>
      </c>
    </row>
    <row r="125" spans="1:17" ht="12.75">
      <c r="A125" s="1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42"/>
      <c r="N125" s="36"/>
      <c r="O125" s="37"/>
      <c r="P125" s="38"/>
      <c r="Q125" s="39"/>
    </row>
    <row r="126" spans="1:17" ht="12.75">
      <c r="A126" s="13" t="s">
        <v>31</v>
      </c>
      <c r="B126" s="34">
        <v>356.82</v>
      </c>
      <c r="C126" s="35">
        <v>327.9</v>
      </c>
      <c r="D126" s="35">
        <v>346.41</v>
      </c>
      <c r="E126" s="35">
        <v>337.66</v>
      </c>
      <c r="F126" s="35">
        <v>343.07</v>
      </c>
      <c r="G126" s="35">
        <v>528.51</v>
      </c>
      <c r="H126" s="35">
        <v>356.51</v>
      </c>
      <c r="I126" s="35">
        <v>352.27</v>
      </c>
      <c r="J126" s="35">
        <v>329.44</v>
      </c>
      <c r="K126" s="35">
        <v>369.62</v>
      </c>
      <c r="L126" s="35">
        <v>372.81</v>
      </c>
      <c r="M126" s="42">
        <f>406.72+296.64</f>
        <v>703.36</v>
      </c>
      <c r="N126" s="36">
        <f>SUM(B126:M126)</f>
        <v>4724.379999999999</v>
      </c>
      <c r="O126" s="37">
        <f>N126/622.8/12</f>
        <v>0.6321424748447869</v>
      </c>
      <c r="P126" s="38">
        <v>5100</v>
      </c>
      <c r="Q126" s="39">
        <f>P126/622.8/12</f>
        <v>0.6824020552344252</v>
      </c>
    </row>
    <row r="127" spans="1:17" ht="12.75">
      <c r="A127" s="1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42"/>
      <c r="N127" s="36"/>
      <c r="O127" s="37"/>
      <c r="P127" s="38"/>
      <c r="Q127" s="39"/>
    </row>
    <row r="128" spans="1:17" ht="12.75">
      <c r="A128" s="13" t="s">
        <v>42</v>
      </c>
      <c r="B128" s="34">
        <v>63.11</v>
      </c>
      <c r="C128" s="35">
        <v>55.07</v>
      </c>
      <c r="D128" s="35">
        <v>25.98</v>
      </c>
      <c r="E128" s="35">
        <v>109.55</v>
      </c>
      <c r="F128" s="35">
        <v>56.34</v>
      </c>
      <c r="G128" s="35">
        <v>20.82</v>
      </c>
      <c r="H128" s="35">
        <v>160.54</v>
      </c>
      <c r="I128" s="35">
        <v>14.27</v>
      </c>
      <c r="J128" s="35">
        <v>13.39</v>
      </c>
      <c r="K128" s="35">
        <v>19.24</v>
      </c>
      <c r="L128" s="35">
        <v>54.96</v>
      </c>
      <c r="M128" s="42">
        <v>66.13</v>
      </c>
      <c r="N128" s="36">
        <f>SUM(B128:M128)</f>
        <v>659.4</v>
      </c>
      <c r="O128" s="37">
        <f>N128/622.8/12</f>
        <v>0.0882305716120745</v>
      </c>
      <c r="P128" s="38">
        <v>720</v>
      </c>
      <c r="Q128" s="39">
        <f>P128/622.8/12</f>
        <v>0.09633911368015415</v>
      </c>
    </row>
    <row r="129" spans="1:17" ht="12.75">
      <c r="A129" s="13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42"/>
      <c r="N129" s="36"/>
      <c r="O129" s="37"/>
      <c r="P129" s="38"/>
      <c r="Q129" s="39"/>
    </row>
    <row r="130" spans="1:17" ht="12.75">
      <c r="A130" s="13" t="s">
        <v>33</v>
      </c>
      <c r="B130" s="34">
        <f>751.04+350.82</f>
        <v>1101.86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42"/>
      <c r="N130" s="36">
        <f>SUM(B130:M130)</f>
        <v>1101.86</v>
      </c>
      <c r="O130" s="37">
        <f>N130/622.8/12</f>
        <v>0.14743363305502033</v>
      </c>
      <c r="P130" s="38">
        <f>681.26+315.93</f>
        <v>997.19</v>
      </c>
      <c r="Q130" s="39">
        <f>P130/622.8/12</f>
        <v>0.13342833440376795</v>
      </c>
    </row>
    <row r="131" spans="1:17" ht="12.75">
      <c r="A131" s="13"/>
      <c r="B131" s="28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30"/>
      <c r="N131" s="31"/>
      <c r="O131" s="37"/>
      <c r="P131" s="71"/>
      <c r="Q131" s="44"/>
    </row>
    <row r="132" spans="1:17" ht="12.75">
      <c r="A132" s="45"/>
      <c r="B132" s="6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46"/>
      <c r="N132" s="9"/>
      <c r="O132" s="72"/>
      <c r="P132" s="38"/>
      <c r="Q132" s="39"/>
    </row>
    <row r="133" spans="1:17" ht="12.75">
      <c r="A133" s="48"/>
      <c r="B133" s="34">
        <f>SUM(B110:B130)</f>
        <v>1856.61</v>
      </c>
      <c r="C133" s="35">
        <f>SUM(C110:C130)</f>
        <v>995.97</v>
      </c>
      <c r="D133" s="35">
        <f>SUM(D110:D130)</f>
        <v>887.4200000000001</v>
      </c>
      <c r="E133" s="35">
        <f>SUM(E110:E130)</f>
        <v>827.21</v>
      </c>
      <c r="F133" s="35">
        <f>SUM(F110:F130)</f>
        <v>1294.9499999999998</v>
      </c>
      <c r="G133" s="35">
        <f>SUM(G110:G130)</f>
        <v>918.32</v>
      </c>
      <c r="H133" s="35">
        <f>SUM(H110:H130)</f>
        <v>941.4599999999999</v>
      </c>
      <c r="I133" s="35">
        <f>SUM(I110:I130)</f>
        <v>938.54</v>
      </c>
      <c r="J133" s="35">
        <f>SUM(J110:J130)</f>
        <v>904.68</v>
      </c>
      <c r="K133" s="35">
        <f>SUM(K110:K130)</f>
        <v>718.86</v>
      </c>
      <c r="L133" s="35">
        <f>SUM(L110:L130)</f>
        <v>822.36</v>
      </c>
      <c r="M133" s="35">
        <f>SUM(M110:M130)</f>
        <v>2782.77</v>
      </c>
      <c r="N133" s="36">
        <f>SUM(N110:N128)</f>
        <v>12787.289999999999</v>
      </c>
      <c r="O133" s="36">
        <f>SUM(O105:O130)</f>
        <v>1.8584283344037678</v>
      </c>
      <c r="P133" s="38">
        <f>SUM(P105:P130)</f>
        <v>13467.19</v>
      </c>
      <c r="Q133" s="39">
        <f>SUM(Q105:Q130)</f>
        <v>1.8019682616142154</v>
      </c>
    </row>
    <row r="134" spans="1:17" ht="12.75">
      <c r="A134" s="50"/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51"/>
      <c r="N134" s="25"/>
      <c r="O134" s="74"/>
      <c r="P134" s="71"/>
      <c r="Q134" s="44"/>
    </row>
    <row r="135" spans="1:17" ht="12.75">
      <c r="A135" s="54" t="s">
        <v>33</v>
      </c>
      <c r="B135" s="6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55"/>
      <c r="O135" s="80"/>
      <c r="P135" s="57"/>
      <c r="Q135" s="58"/>
    </row>
    <row r="136" spans="1:17" ht="12.75">
      <c r="A136" s="13" t="s">
        <v>55</v>
      </c>
      <c r="B136" s="35">
        <f>(B133-B130)/622.8*207.6</f>
        <v>251.58333333333334</v>
      </c>
      <c r="C136" s="35">
        <f>(C133-C130)/622.8*207.6</f>
        <v>331.99000000000007</v>
      </c>
      <c r="D136" s="35">
        <f>(D133-D130)/622.8*207.6</f>
        <v>295.8066666666667</v>
      </c>
      <c r="E136" s="35">
        <f>(E133-E130)/622.8*207.6</f>
        <v>275.7366666666667</v>
      </c>
      <c r="F136" s="35">
        <f>(F133-F130)/622.8*207.6</f>
        <v>431.6499999999999</v>
      </c>
      <c r="G136" s="35">
        <f>(G133-G130)/622.8*207.6</f>
        <v>306.10666666666674</v>
      </c>
      <c r="H136" s="35">
        <f>(H133-H130)/622.8*207.6</f>
        <v>313.82</v>
      </c>
      <c r="I136" s="35">
        <f>(I133-I130)/622.8*207.6</f>
        <v>312.84666666666664</v>
      </c>
      <c r="J136" s="35">
        <f>(J133-J130)/622.8*207.6</f>
        <v>301.56</v>
      </c>
      <c r="K136" s="35">
        <f>(K133-K130)/622.8*207.6</f>
        <v>239.62</v>
      </c>
      <c r="L136" s="35">
        <f>(L133-L130)/622.8*207.6</f>
        <v>274.12</v>
      </c>
      <c r="M136" s="35">
        <f>(M133-M130)/622.8*207.6</f>
        <v>927.59</v>
      </c>
      <c r="N136" s="34">
        <f>SUM(B136:M136)</f>
        <v>4262.43</v>
      </c>
      <c r="O136" s="34"/>
      <c r="P136" s="34">
        <f>(P133-P124-P130)/622.8*207.6</f>
        <v>4156.666666666667</v>
      </c>
      <c r="Q136" s="34"/>
    </row>
    <row r="137" spans="1:17" ht="12.75">
      <c r="A137" s="61"/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5"/>
      <c r="O137" s="81"/>
      <c r="P137" s="63"/>
      <c r="Q137" s="64"/>
    </row>
    <row r="138" spans="3:13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65" t="s">
        <v>36</v>
      </c>
      <c r="B139">
        <v>207.6</v>
      </c>
      <c r="C139" s="1">
        <v>207.6</v>
      </c>
      <c r="D139" s="1">
        <v>207.6</v>
      </c>
      <c r="E139" s="1">
        <v>207.6</v>
      </c>
      <c r="F139" s="1">
        <v>207.6</v>
      </c>
      <c r="G139" s="1">
        <v>207.6</v>
      </c>
      <c r="H139" s="1">
        <v>207.6</v>
      </c>
      <c r="I139" s="1">
        <v>207.6</v>
      </c>
      <c r="J139" s="1">
        <v>207.6</v>
      </c>
      <c r="K139" s="1">
        <v>207.6</v>
      </c>
      <c r="L139" s="1">
        <v>207.6</v>
      </c>
      <c r="M139" s="1">
        <v>207.6</v>
      </c>
    </row>
    <row r="140" spans="3:13" ht="12.75">
      <c r="C140" s="1"/>
      <c r="D140" s="1"/>
      <c r="E140" s="1"/>
      <c r="F140" s="1"/>
      <c r="G140" s="1"/>
      <c r="H140" s="1"/>
      <c r="I140" s="1"/>
      <c r="J140" s="82"/>
      <c r="K140" s="82"/>
      <c r="L140" s="82"/>
      <c r="M140" s="82"/>
    </row>
    <row r="141" spans="3:13" ht="12.75">
      <c r="C141" s="1"/>
      <c r="D141" s="1"/>
      <c r="E141" s="1"/>
      <c r="F141" s="1"/>
      <c r="G141" s="1"/>
      <c r="H141" s="1"/>
      <c r="I141" s="1"/>
      <c r="J141" s="82"/>
      <c r="K141" s="82"/>
      <c r="L141" s="82"/>
      <c r="M141" s="82"/>
    </row>
    <row r="142" spans="3:13" ht="12.75">
      <c r="C142" s="1"/>
      <c r="D142" s="1"/>
      <c r="E142" s="1"/>
      <c r="F142" s="1"/>
      <c r="G142" s="1"/>
      <c r="H142" s="1"/>
      <c r="I142" s="1"/>
      <c r="J142" s="82"/>
      <c r="K142" s="82"/>
      <c r="L142" s="82"/>
      <c r="M142" s="82"/>
    </row>
    <row r="143" spans="3:13" ht="12.75">
      <c r="C143" s="1"/>
      <c r="D143" s="1"/>
      <c r="E143" s="1"/>
      <c r="F143" s="1"/>
      <c r="G143" s="1"/>
      <c r="H143" s="1"/>
      <c r="I143" s="1"/>
      <c r="J143" s="82"/>
      <c r="K143" s="82"/>
      <c r="L143" s="82"/>
      <c r="M143" s="82"/>
    </row>
    <row r="144" spans="3:13" ht="12.75">
      <c r="C144" s="1"/>
      <c r="D144" s="1"/>
      <c r="E144" s="1"/>
      <c r="F144" s="1"/>
      <c r="G144" s="1"/>
      <c r="H144" s="1"/>
      <c r="I144" s="1"/>
      <c r="J144" s="82"/>
      <c r="K144" s="82"/>
      <c r="L144" s="82"/>
      <c r="M144" s="82"/>
    </row>
    <row r="145" spans="3:13" ht="12.75">
      <c r="C145" s="1"/>
      <c r="D145" s="1"/>
      <c r="E145" s="1"/>
      <c r="F145" s="1"/>
      <c r="G145" s="1"/>
      <c r="H145" s="1"/>
      <c r="I145" s="1"/>
      <c r="J145" s="82"/>
      <c r="K145" s="82"/>
      <c r="L145" s="82"/>
      <c r="M145" s="82"/>
    </row>
    <row r="146" spans="3:13" ht="12.75">
      <c r="C146" s="1"/>
      <c r="D146" s="1"/>
      <c r="E146" s="1"/>
      <c r="F146" s="1"/>
      <c r="G146" s="1"/>
      <c r="H146" s="1"/>
      <c r="I146" s="1"/>
      <c r="J146" s="82"/>
      <c r="K146" s="82"/>
      <c r="L146" s="82"/>
      <c r="M146" s="82"/>
    </row>
    <row r="147" spans="3:13" ht="12.75">
      <c r="C147" s="1"/>
      <c r="D147" s="1"/>
      <c r="E147" s="1"/>
      <c r="F147" s="1"/>
      <c r="G147" s="1"/>
      <c r="H147" s="1"/>
      <c r="I147" s="1"/>
      <c r="J147" s="82"/>
      <c r="K147" s="82"/>
      <c r="L147" s="82"/>
      <c r="M147" s="82"/>
    </row>
    <row r="148" spans="3:13" ht="12.75">
      <c r="C148" s="1"/>
      <c r="D148" s="1"/>
      <c r="E148" s="1"/>
      <c r="F148" s="1"/>
      <c r="G148" s="1"/>
      <c r="H148" s="1"/>
      <c r="I148" s="1"/>
      <c r="J148" s="82"/>
      <c r="K148" s="82"/>
      <c r="L148" s="82"/>
      <c r="M148" s="82"/>
    </row>
    <row r="149" spans="3:13" ht="12.75">
      <c r="C149" s="1"/>
      <c r="D149" s="1"/>
      <c r="E149" s="1"/>
      <c r="F149" s="1"/>
      <c r="G149" s="1"/>
      <c r="H149" s="1"/>
      <c r="I149" s="1"/>
      <c r="J149" s="82"/>
      <c r="K149" s="82"/>
      <c r="L149" s="82"/>
      <c r="M149" s="82"/>
    </row>
    <row r="150" spans="3:13" ht="12.75">
      <c r="C150" s="1"/>
      <c r="D150" s="1"/>
      <c r="E150" s="1"/>
      <c r="F150" s="1"/>
      <c r="G150" s="1"/>
      <c r="H150" s="1"/>
      <c r="I150" s="1"/>
      <c r="J150" s="82"/>
      <c r="K150" s="82"/>
      <c r="L150" s="82"/>
      <c r="M150" s="82"/>
    </row>
    <row r="151" spans="3:13" ht="12.75">
      <c r="C151" s="1"/>
      <c r="D151" s="1"/>
      <c r="E151" s="1"/>
      <c r="F151" s="1"/>
      <c r="G151" s="1"/>
      <c r="H151" s="1"/>
      <c r="I151" s="1"/>
      <c r="J151" s="82"/>
      <c r="K151" s="82"/>
      <c r="L151" s="82"/>
      <c r="M151" s="82"/>
    </row>
    <row r="152" spans="3:13" ht="12.75">
      <c r="C152" s="1"/>
      <c r="D152" s="1"/>
      <c r="E152" s="1"/>
      <c r="F152" s="1"/>
      <c r="G152" s="1"/>
      <c r="H152" s="1"/>
      <c r="I152" s="1"/>
      <c r="J152" s="82"/>
      <c r="K152" s="82"/>
      <c r="L152" s="82"/>
      <c r="M152" s="82"/>
    </row>
    <row r="153" spans="3:13" ht="12.75">
      <c r="C153" s="1"/>
      <c r="D153" s="1"/>
      <c r="E153" s="1"/>
      <c r="F153" s="1"/>
      <c r="G153" s="1"/>
      <c r="H153" s="1"/>
      <c r="I153" s="1"/>
      <c r="J153" s="82"/>
      <c r="K153" s="82"/>
      <c r="L153" s="82"/>
      <c r="M153" s="82"/>
    </row>
    <row r="154" spans="3:13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3:20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T155" s="3" t="s">
        <v>56</v>
      </c>
    </row>
    <row r="156" spans="1:22" ht="12.75">
      <c r="A156" s="83">
        <v>2014</v>
      </c>
      <c r="B156" s="3" t="s">
        <v>57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" t="s">
        <v>58</v>
      </c>
      <c r="V156" s="84" t="s">
        <v>59</v>
      </c>
    </row>
    <row r="157" spans="3:13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5"/>
    </row>
    <row r="158" spans="1:24" ht="12.75">
      <c r="A158" s="6"/>
      <c r="B158" s="6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9"/>
      <c r="O158" s="85"/>
      <c r="P158" s="86"/>
      <c r="Q158" s="87"/>
      <c r="R158" s="88"/>
      <c r="S158" s="85" t="s">
        <v>60</v>
      </c>
      <c r="T158" s="85"/>
      <c r="U158" s="85"/>
      <c r="V158" s="85"/>
      <c r="W158" s="10"/>
      <c r="X158" s="6"/>
    </row>
    <row r="159" spans="1:24" ht="12.75">
      <c r="A159" s="13" t="s">
        <v>4</v>
      </c>
      <c r="B159" s="14" t="s">
        <v>5</v>
      </c>
      <c r="C159" s="15" t="s">
        <v>6</v>
      </c>
      <c r="D159" s="15" t="s">
        <v>7</v>
      </c>
      <c r="E159" s="15" t="s">
        <v>8</v>
      </c>
      <c r="F159" s="15" t="s">
        <v>9</v>
      </c>
      <c r="G159" s="15" t="s">
        <v>10</v>
      </c>
      <c r="H159" s="15" t="s">
        <v>11</v>
      </c>
      <c r="I159" s="15" t="s">
        <v>12</v>
      </c>
      <c r="J159" s="15" t="s">
        <v>13</v>
      </c>
      <c r="K159" s="15" t="s">
        <v>14</v>
      </c>
      <c r="L159" s="15" t="s">
        <v>15</v>
      </c>
      <c r="M159" s="16" t="s">
        <v>16</v>
      </c>
      <c r="N159" s="17" t="s">
        <v>17</v>
      </c>
      <c r="O159" s="83" t="s">
        <v>61</v>
      </c>
      <c r="P159" s="89" t="s">
        <v>62</v>
      </c>
      <c r="Q159" s="90"/>
      <c r="R159" s="91" t="s">
        <v>63</v>
      </c>
      <c r="S159" s="92" t="s">
        <v>64</v>
      </c>
      <c r="T159" s="92" t="s">
        <v>65</v>
      </c>
      <c r="U159" s="92" t="s">
        <v>66</v>
      </c>
      <c r="V159" s="93" t="s">
        <v>67</v>
      </c>
      <c r="W159" s="94"/>
      <c r="X159" s="13" t="s">
        <v>4</v>
      </c>
    </row>
    <row r="160" spans="1:24" ht="12.75">
      <c r="A160" s="21"/>
      <c r="B160" s="22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4"/>
      <c r="N160" s="25"/>
      <c r="O160" s="95"/>
      <c r="P160" s="96" t="s">
        <v>68</v>
      </c>
      <c r="Q160" s="97"/>
      <c r="R160" s="98"/>
      <c r="S160" s="22"/>
      <c r="T160" s="22" t="s">
        <v>69</v>
      </c>
      <c r="U160" s="22" t="s">
        <v>70</v>
      </c>
      <c r="V160" s="99" t="s">
        <v>71</v>
      </c>
      <c r="W160" s="100" t="s">
        <v>72</v>
      </c>
      <c r="X160" s="21"/>
    </row>
    <row r="161" spans="1:24" ht="12.75">
      <c r="A161" s="13"/>
      <c r="B161" s="28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30"/>
      <c r="N161" s="31"/>
      <c r="O161" s="101"/>
      <c r="P161" s="56"/>
      <c r="Q161" s="102"/>
      <c r="R161" s="91"/>
      <c r="S161" s="28"/>
      <c r="T161" s="28"/>
      <c r="U161" s="28"/>
      <c r="V161" s="103"/>
      <c r="W161" s="18"/>
      <c r="X161" s="13"/>
    </row>
    <row r="162" spans="1:24" ht="12.75">
      <c r="A162" s="13" t="s">
        <v>73</v>
      </c>
      <c r="B162" s="34"/>
      <c r="C162" s="35"/>
      <c r="D162" s="35"/>
      <c r="E162" s="35"/>
      <c r="F162" s="35">
        <v>360</v>
      </c>
      <c r="G162" s="35">
        <v>750</v>
      </c>
      <c r="H162" s="35">
        <f>369+72.57</f>
        <v>441.57</v>
      </c>
      <c r="I162" s="35"/>
      <c r="J162" s="35"/>
      <c r="K162" s="35"/>
      <c r="L162" s="35"/>
      <c r="M162" s="42">
        <f>30+146.37</f>
        <v>176.37</v>
      </c>
      <c r="N162" s="36">
        <f>SUM(B162:M162)</f>
        <v>1727.94</v>
      </c>
      <c r="O162" s="104">
        <f>N162/$N$191</f>
        <v>0.01395681202098021</v>
      </c>
      <c r="P162" s="59">
        <f>N162/10657.4/12</f>
        <v>0.01351126916508717</v>
      </c>
      <c r="Q162" s="102"/>
      <c r="R162" s="105">
        <f>N162</f>
        <v>1727.94</v>
      </c>
      <c r="S162" s="106">
        <f>$S$192/($N$191-$N$184)*N162</f>
        <v>271.3456614064139</v>
      </c>
      <c r="T162" s="106">
        <f>$T$192/($N$191-$N$184)*N162</f>
        <v>54.554046140410755</v>
      </c>
      <c r="U162" s="106">
        <f>$U$192/($N$191-$N$174-$N$176-$N$178-$N$184)*N162</f>
        <v>368.3736039463462</v>
      </c>
      <c r="V162" s="103">
        <f>N162-S162-T162-U162</f>
        <v>1033.6666885068294</v>
      </c>
      <c r="W162" s="107">
        <f>V162/12</f>
        <v>86.13889070890245</v>
      </c>
      <c r="X162" s="13" t="s">
        <v>74</v>
      </c>
    </row>
    <row r="163" spans="1:24" ht="12.75">
      <c r="A163" s="13"/>
      <c r="B163" s="34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42"/>
      <c r="N163" s="36"/>
      <c r="O163" s="102"/>
      <c r="P163" s="59"/>
      <c r="Q163" s="102"/>
      <c r="R163" s="105"/>
      <c r="S163" s="106"/>
      <c r="T163" s="106"/>
      <c r="U163" s="106"/>
      <c r="V163" s="103"/>
      <c r="W163" s="107"/>
      <c r="X163" s="40" t="s">
        <v>75</v>
      </c>
    </row>
    <row r="164" spans="1:24" ht="12.75">
      <c r="A164" s="13" t="s">
        <v>76</v>
      </c>
      <c r="B164" s="34"/>
      <c r="C164" s="35"/>
      <c r="D164" s="35"/>
      <c r="E164" s="35"/>
      <c r="F164" s="35"/>
      <c r="G164" s="35"/>
      <c r="H164" s="35"/>
      <c r="I164" s="35"/>
      <c r="J164" s="35"/>
      <c r="K164" s="35"/>
      <c r="L164" s="35">
        <v>420</v>
      </c>
      <c r="M164" s="42">
        <f>117+80+40+200+58.5+290+69+290</f>
        <v>1144.5</v>
      </c>
      <c r="N164" s="36">
        <f>SUM(B164:M164)</f>
        <v>1564.5</v>
      </c>
      <c r="O164" s="104">
        <f>N164/$N$191</f>
        <v>0.012636684379563837</v>
      </c>
      <c r="P164" s="59">
        <f>N164/10657.4/12</f>
        <v>0.012233283915401504</v>
      </c>
      <c r="Q164" s="102"/>
      <c r="R164" s="105">
        <f>N164</f>
        <v>1564.5</v>
      </c>
      <c r="S164" s="106">
        <f>$S$192/($N$191-$N$184)*N164</f>
        <v>245.6799930960187</v>
      </c>
      <c r="T164" s="106">
        <f>$T$192/($N$191-$N$184)*N164</f>
        <v>49.39396344009203</v>
      </c>
      <c r="U164" s="106">
        <f>$U$192/($N$191-$N$174-$N$176-$N$178-$N$184)*N164</f>
        <v>333.5303907392957</v>
      </c>
      <c r="V164" s="103">
        <f>N164-S164-T164-U164</f>
        <v>935.8956527245937</v>
      </c>
      <c r="W164" s="107">
        <f>V164/12</f>
        <v>77.99130439371613</v>
      </c>
      <c r="X164" s="13" t="s">
        <v>77</v>
      </c>
    </row>
    <row r="165" spans="1:24" ht="12.75">
      <c r="A165" s="13"/>
      <c r="B165" s="34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42"/>
      <c r="N165" s="36"/>
      <c r="O165" s="102"/>
      <c r="P165" s="59"/>
      <c r="Q165" s="102"/>
      <c r="R165" s="105"/>
      <c r="S165" s="106"/>
      <c r="T165" s="106"/>
      <c r="U165" s="106"/>
      <c r="V165" s="103"/>
      <c r="W165" s="107"/>
      <c r="X165" s="13"/>
    </row>
    <row r="166" spans="1:24" ht="12.75">
      <c r="A166" s="13" t="s">
        <v>22</v>
      </c>
      <c r="B166" s="34">
        <v>148.46</v>
      </c>
      <c r="C166" s="35"/>
      <c r="D166" s="35">
        <v>143.06</v>
      </c>
      <c r="E166" s="35"/>
      <c r="F166" s="35">
        <v>171.72</v>
      </c>
      <c r="G166" s="35"/>
      <c r="H166" s="35">
        <v>202.49</v>
      </c>
      <c r="I166" s="35"/>
      <c r="J166" s="35">
        <v>146.26</v>
      </c>
      <c r="K166" s="35"/>
      <c r="L166" s="35">
        <v>156.86</v>
      </c>
      <c r="M166" s="42"/>
      <c r="N166" s="36">
        <f>SUM(B166:M166)</f>
        <v>968.85</v>
      </c>
      <c r="O166" s="104">
        <f>N166/$N$191</f>
        <v>0.007825536376567865</v>
      </c>
      <c r="P166" s="59">
        <f>N166/10657.4/12</f>
        <v>0.0075757220335166174</v>
      </c>
      <c r="Q166" s="102"/>
      <c r="R166" s="105">
        <f>N166</f>
        <v>968.85</v>
      </c>
      <c r="S166" s="106">
        <f>$S$192/($N$191-$N$184)*N166</f>
        <v>152.14257674086144</v>
      </c>
      <c r="T166" s="106">
        <f>$T$192/($N$191-$N$184)*N166</f>
        <v>30.58826556659199</v>
      </c>
      <c r="U166" s="106">
        <f>$U$192/($N$191-$N$174-$N$176-$N$178-$N$184)*N166</f>
        <v>206.54580956712473</v>
      </c>
      <c r="V166" s="103">
        <f>N166-S166-T166-U166</f>
        <v>579.5733481254218</v>
      </c>
      <c r="W166" s="107">
        <f>V166/12</f>
        <v>48.29777901045182</v>
      </c>
      <c r="X166" s="13" t="s">
        <v>22</v>
      </c>
    </row>
    <row r="167" spans="1:24" ht="12.75">
      <c r="A167" s="13"/>
      <c r="B167" s="34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42"/>
      <c r="N167" s="36"/>
      <c r="O167" s="102"/>
      <c r="P167" s="59"/>
      <c r="Q167" s="102"/>
      <c r="R167" s="105"/>
      <c r="S167" s="106"/>
      <c r="T167" s="106"/>
      <c r="U167" s="106"/>
      <c r="V167" s="103"/>
      <c r="W167" s="107"/>
      <c r="X167" s="13"/>
    </row>
    <row r="168" spans="1:24" ht="12.75">
      <c r="A168" s="13" t="s">
        <v>78</v>
      </c>
      <c r="B168" s="34"/>
      <c r="C168" s="35"/>
      <c r="D168" s="35"/>
      <c r="E168" s="35"/>
      <c r="F168" s="35"/>
      <c r="G168" s="35"/>
      <c r="H168" s="35"/>
      <c r="I168" s="35">
        <v>994.25</v>
      </c>
      <c r="J168" s="35"/>
      <c r="K168" s="35"/>
      <c r="L168" s="35"/>
      <c r="M168" s="42"/>
      <c r="N168" s="36">
        <f>SUM(B168:M168)</f>
        <v>994.25</v>
      </c>
      <c r="O168" s="104">
        <f>N168/$N$191</f>
        <v>0.008030695713890281</v>
      </c>
      <c r="P168" s="59">
        <f>N168/10657.4/12</f>
        <v>0.007774332075991017</v>
      </c>
      <c r="Q168" s="102"/>
      <c r="R168" s="105">
        <f>N168</f>
        <v>994.25</v>
      </c>
      <c r="S168" s="106">
        <f>$S$192/($N$191-$N$184)*N168</f>
        <v>156.13124521298602</v>
      </c>
      <c r="T168" s="106">
        <f>$T$192/($N$191-$N$184)*N168</f>
        <v>31.390187376357623</v>
      </c>
      <c r="U168" s="106">
        <f>$U$192/($N$191-$N$174-$N$176-$N$178-$N$184)*N168</f>
        <v>211.96074847717784</v>
      </c>
      <c r="V168" s="103">
        <f>N168-S168-T168-U168</f>
        <v>594.7678189334786</v>
      </c>
      <c r="W168" s="107">
        <f>V168/12</f>
        <v>49.563984911123214</v>
      </c>
      <c r="X168" s="13" t="s">
        <v>78</v>
      </c>
    </row>
    <row r="169" spans="1:24" ht="12.75">
      <c r="A169" s="13"/>
      <c r="B169" s="34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42"/>
      <c r="N169" s="36"/>
      <c r="O169" s="102"/>
      <c r="P169" s="59"/>
      <c r="Q169" s="102"/>
      <c r="R169" s="105"/>
      <c r="S169" s="106"/>
      <c r="T169" s="106"/>
      <c r="U169" s="106"/>
      <c r="V169" s="103"/>
      <c r="W169" s="107"/>
      <c r="X169" s="13"/>
    </row>
    <row r="170" spans="1:24" ht="12.75">
      <c r="A170" s="13" t="s">
        <v>79</v>
      </c>
      <c r="B170" s="34">
        <v>483.01</v>
      </c>
      <c r="C170" s="35">
        <v>184.12</v>
      </c>
      <c r="D170" s="35">
        <v>835.33</v>
      </c>
      <c r="E170" s="35">
        <v>161.84</v>
      </c>
      <c r="F170" s="35">
        <f>107.87</f>
        <v>107.87</v>
      </c>
      <c r="G170" s="35">
        <f>4195.3+26.13</f>
        <v>4221.43</v>
      </c>
      <c r="H170" s="35">
        <v>148.03</v>
      </c>
      <c r="I170" s="35">
        <v>52.07</v>
      </c>
      <c r="J170" s="35">
        <f>233.9+37.6</f>
        <v>271.5</v>
      </c>
      <c r="K170" s="35">
        <v>770.35</v>
      </c>
      <c r="L170" s="35">
        <v>544.25</v>
      </c>
      <c r="M170" s="42">
        <v>111.11</v>
      </c>
      <c r="N170" s="36">
        <f>SUM(B170:M170)</f>
        <v>7890.91</v>
      </c>
      <c r="O170" s="104">
        <f>N170/$N$191</f>
        <v>0.06373597899491472</v>
      </c>
      <c r="P170" s="59">
        <f>N170/10657.4/12</f>
        <v>0.06170133741187656</v>
      </c>
      <c r="Q170" s="102"/>
      <c r="R170" s="105">
        <f>N170</f>
        <v>7890.91</v>
      </c>
      <c r="S170" s="106">
        <f>$S$192/($N$191-$N$184)*N170</f>
        <v>1239.1426745422211</v>
      </c>
      <c r="T170" s="106">
        <f>$T$192/($N$191-$N$184)*N170</f>
        <v>249.12963889361242</v>
      </c>
      <c r="U170" s="106">
        <f>$U$192/($N$191-$N$174-$N$176-$N$178-$N$184)*N170</f>
        <v>1682.2360470365072</v>
      </c>
      <c r="V170" s="103">
        <f>N170-S170-T170-U170</f>
        <v>4720.4016395276585</v>
      </c>
      <c r="W170" s="107">
        <f>V170/12</f>
        <v>393.36680329397154</v>
      </c>
      <c r="X170" s="13" t="s">
        <v>79</v>
      </c>
    </row>
    <row r="171" spans="1:24" ht="12.75">
      <c r="A171" s="13"/>
      <c r="B171" s="34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42"/>
      <c r="N171" s="36"/>
      <c r="O171" s="102"/>
      <c r="P171" s="59"/>
      <c r="Q171" s="102"/>
      <c r="R171" s="105"/>
      <c r="S171" s="106"/>
      <c r="T171" s="106"/>
      <c r="U171" s="106"/>
      <c r="V171" s="103"/>
      <c r="W171" s="107"/>
      <c r="X171" s="13"/>
    </row>
    <row r="172" spans="1:24" ht="12.75">
      <c r="A172" s="13" t="s">
        <v>80</v>
      </c>
      <c r="B172" s="34">
        <v>396.94</v>
      </c>
      <c r="C172" s="35">
        <v>398.4</v>
      </c>
      <c r="D172" s="35">
        <v>394.92</v>
      </c>
      <c r="E172" s="35">
        <v>395.8</v>
      </c>
      <c r="F172" s="35">
        <f>44.94+151.77+201.84</f>
        <v>398.55</v>
      </c>
      <c r="G172" s="35">
        <v>400.48</v>
      </c>
      <c r="H172" s="35">
        <v>398.3</v>
      </c>
      <c r="I172" s="35">
        <v>389.52</v>
      </c>
      <c r="J172" s="35">
        <f>147.6+203.86+44.94</f>
        <v>396.40000000000003</v>
      </c>
      <c r="K172" s="35">
        <v>397.84</v>
      </c>
      <c r="L172" s="35">
        <v>396.4</v>
      </c>
      <c r="M172" s="35">
        <f>148.67+44.94+203.86</f>
        <v>397.47</v>
      </c>
      <c r="N172" s="36">
        <f>SUM(B172:M172)</f>
        <v>4761.0199999999995</v>
      </c>
      <c r="O172" s="104">
        <f>N172/$N$191</f>
        <v>0.03845542158184149</v>
      </c>
      <c r="P172" s="59">
        <f>N172/10657.4/12</f>
        <v>0.037227810410293945</v>
      </c>
      <c r="Q172" s="102"/>
      <c r="R172" s="105">
        <f>N172</f>
        <v>4761.0199999999995</v>
      </c>
      <c r="S172" s="106">
        <f>$S$192/($N$191-$N$184)*N172</f>
        <v>747.6429279194675</v>
      </c>
      <c r="T172" s="106">
        <f>$T$192/($N$191-$N$184)*N172</f>
        <v>150.31361317836175</v>
      </c>
      <c r="U172" s="106">
        <f>$U$192/($N$191-$N$174-$N$176-$N$178-$N$184)*N172</f>
        <v>1014.9855295094927</v>
      </c>
      <c r="V172" s="103">
        <f>N172-S172-T172-U172</f>
        <v>2848.0779293926776</v>
      </c>
      <c r="W172" s="107">
        <f>V172/12</f>
        <v>237.3398274493898</v>
      </c>
      <c r="X172" s="13" t="s">
        <v>80</v>
      </c>
    </row>
    <row r="173" spans="1:24" ht="12.75">
      <c r="A173" s="13"/>
      <c r="B173" s="34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42"/>
      <c r="N173" s="36"/>
      <c r="O173" s="102"/>
      <c r="P173" s="59"/>
      <c r="Q173" s="102"/>
      <c r="R173" s="105"/>
      <c r="S173" s="106"/>
      <c r="T173" s="106"/>
      <c r="U173" s="106"/>
      <c r="V173" s="103"/>
      <c r="W173" s="107"/>
      <c r="X173" s="13"/>
    </row>
    <row r="174" spans="1:24" ht="12.75">
      <c r="A174" s="13" t="s">
        <v>81</v>
      </c>
      <c r="B174" s="34">
        <v>89.75</v>
      </c>
      <c r="C174" s="35">
        <v>4.2</v>
      </c>
      <c r="D174" s="35"/>
      <c r="E174" s="35"/>
      <c r="F174" s="35">
        <v>0</v>
      </c>
      <c r="G174" s="35">
        <v>0</v>
      </c>
      <c r="H174" s="35">
        <v>13</v>
      </c>
      <c r="I174" s="35"/>
      <c r="J174" s="35"/>
      <c r="K174" s="35"/>
      <c r="L174" s="35"/>
      <c r="M174" s="42"/>
      <c r="N174" s="36">
        <f>SUM(B174:M174)</f>
        <v>106.95</v>
      </c>
      <c r="O174" s="104">
        <f>N174/$N$191</f>
        <v>0.0008638500443556103</v>
      </c>
      <c r="P174" s="59">
        <f>N174/10657.4/12</f>
        <v>0.0008362733875053953</v>
      </c>
      <c r="Q174" s="102"/>
      <c r="R174" s="105">
        <f>N174</f>
        <v>106.95</v>
      </c>
      <c r="S174" s="106">
        <f>$S$192/($N$191-$N$184)*N174</f>
        <v>16.794806814713457</v>
      </c>
      <c r="T174" s="106">
        <f>$T$192/($N$191-$N$184)*N174</f>
        <v>3.3765959667100307</v>
      </c>
      <c r="U174" s="106">
        <v>0</v>
      </c>
      <c r="V174" s="103">
        <f>N174-S174-T174-U174</f>
        <v>86.77859721857652</v>
      </c>
      <c r="W174" s="107">
        <f>V174/12</f>
        <v>7.23154976821471</v>
      </c>
      <c r="X174" s="13" t="s">
        <v>82</v>
      </c>
    </row>
    <row r="175" spans="1:24" ht="12.75">
      <c r="A175" s="13"/>
      <c r="B175" s="34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42"/>
      <c r="N175" s="36"/>
      <c r="O175" s="102"/>
      <c r="P175" s="59"/>
      <c r="Q175" s="102"/>
      <c r="R175" s="105"/>
      <c r="S175" s="106"/>
      <c r="T175" s="106"/>
      <c r="U175" s="106"/>
      <c r="V175" s="103"/>
      <c r="W175" s="107"/>
      <c r="X175" s="13"/>
    </row>
    <row r="176" spans="1:24" ht="12.75">
      <c r="A176" s="13" t="s">
        <v>83</v>
      </c>
      <c r="B176" s="34">
        <v>5456.43</v>
      </c>
      <c r="C176" s="35">
        <v>5456.43</v>
      </c>
      <c r="D176" s="35">
        <v>5456.43</v>
      </c>
      <c r="E176" s="35">
        <v>5456.43</v>
      </c>
      <c r="F176" s="35">
        <v>5581.17</v>
      </c>
      <c r="G176" s="35">
        <v>5481</v>
      </c>
      <c r="H176" s="35">
        <v>5626</v>
      </c>
      <c r="I176" s="35">
        <v>5481</v>
      </c>
      <c r="J176" s="35">
        <v>5771</v>
      </c>
      <c r="K176" s="35">
        <v>5877.9</v>
      </c>
      <c r="L176" s="35">
        <v>5783.4</v>
      </c>
      <c r="M176" s="35">
        <v>5783.4</v>
      </c>
      <c r="N176" s="36">
        <f>SUM(B176:M176)</f>
        <v>67210.59</v>
      </c>
      <c r="O176" s="104">
        <f>N176/$N$191</f>
        <v>0.5428692954901051</v>
      </c>
      <c r="P176" s="59">
        <f>N176/10657.4/12</f>
        <v>0.525539296638955</v>
      </c>
      <c r="Q176" s="102"/>
      <c r="R176" s="105">
        <f>N176</f>
        <v>67210.59</v>
      </c>
      <c r="S176" s="106">
        <f>$S$192/($N$191-$N$184)*N176</f>
        <v>10554.360682121664</v>
      </c>
      <c r="T176" s="106">
        <f>$T$192/($N$191-$N$184)*N176</f>
        <v>2121.954250717172</v>
      </c>
      <c r="U176" s="106">
        <v>0</v>
      </c>
      <c r="V176" s="103">
        <f>N176-S176-T176-U176</f>
        <v>54534.27506716116</v>
      </c>
      <c r="W176" s="107">
        <f>V176/12</f>
        <v>4544.52292226343</v>
      </c>
      <c r="X176" s="13" t="s">
        <v>83</v>
      </c>
    </row>
    <row r="177" spans="1:24" ht="12.75">
      <c r="A177" s="13"/>
      <c r="B177" s="34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42"/>
      <c r="N177" s="36"/>
      <c r="O177" s="102"/>
      <c r="P177" s="59"/>
      <c r="Q177" s="102"/>
      <c r="R177" s="105"/>
      <c r="S177" s="106"/>
      <c r="T177" s="106"/>
      <c r="U177" s="106"/>
      <c r="V177" s="103"/>
      <c r="W177" s="107"/>
      <c r="X177" s="13"/>
    </row>
    <row r="178" spans="1:24" ht="12.75">
      <c r="A178" s="13" t="s">
        <v>84</v>
      </c>
      <c r="B178" s="34">
        <v>1190.64</v>
      </c>
      <c r="C178" s="35">
        <v>1131.67</v>
      </c>
      <c r="D178" s="35">
        <v>1131.67</v>
      </c>
      <c r="E178" s="35">
        <v>1131.67</v>
      </c>
      <c r="F178" s="35">
        <v>1129.31</v>
      </c>
      <c r="G178" s="35">
        <v>1157.54</v>
      </c>
      <c r="H178" s="35">
        <v>1136.76</v>
      </c>
      <c r="I178" s="35">
        <v>1136.76</v>
      </c>
      <c r="J178" s="35">
        <v>1136.76</v>
      </c>
      <c r="K178" s="35">
        <v>1136.76</v>
      </c>
      <c r="L178" s="35">
        <v>1219.08</v>
      </c>
      <c r="M178" s="35">
        <f>1199.48+1200</f>
        <v>2399.48</v>
      </c>
      <c r="N178" s="36">
        <f>SUM(B178:M178)</f>
        <v>15038.099999999999</v>
      </c>
      <c r="O178" s="104">
        <f>N178/$N$191</f>
        <v>0.12146482797591493</v>
      </c>
      <c r="P178" s="59">
        <f>N178/10657.4/12</f>
        <v>0.11758731022575862</v>
      </c>
      <c r="Q178" s="102"/>
      <c r="R178" s="105">
        <f>N178</f>
        <v>15038.099999999999</v>
      </c>
      <c r="S178" s="106">
        <f>$S$192/($N$191-$N$184)*N178</f>
        <v>2361.4958799471005</v>
      </c>
      <c r="T178" s="106">
        <f>$T$192/($N$191-$N$184)*N178</f>
        <v>474.7787546234886</v>
      </c>
      <c r="U178" s="106">
        <v>0</v>
      </c>
      <c r="V178" s="103">
        <f>N178-S178-T178-U178</f>
        <v>12201.82536542941</v>
      </c>
      <c r="W178" s="107">
        <f>V178/12</f>
        <v>1016.8187804524508</v>
      </c>
      <c r="X178" s="13" t="s">
        <v>84</v>
      </c>
    </row>
    <row r="179" spans="1:24" ht="12.75">
      <c r="A179" s="13"/>
      <c r="B179" s="34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42"/>
      <c r="N179" s="36"/>
      <c r="O179" s="102"/>
      <c r="P179" s="59"/>
      <c r="Q179" s="102"/>
      <c r="R179" s="105"/>
      <c r="S179" s="106"/>
      <c r="T179" s="106"/>
      <c r="U179" s="106"/>
      <c r="V179" s="103"/>
      <c r="W179" s="107"/>
      <c r="X179" s="13"/>
    </row>
    <row r="180" spans="1:24" ht="12.75">
      <c r="A180" s="13" t="s">
        <v>85</v>
      </c>
      <c r="B180" s="34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42">
        <v>46</v>
      </c>
      <c r="N180" s="36">
        <f>SUM(B180:M180)</f>
        <v>46</v>
      </c>
      <c r="O180" s="104">
        <f>N180/$N$191</f>
        <v>0.0003715484061744561</v>
      </c>
      <c r="P180" s="59">
        <f>N180/10657.4/12</f>
        <v>0.0003596874784969442</v>
      </c>
      <c r="Q180" s="102"/>
      <c r="R180" s="105">
        <f>N180</f>
        <v>46</v>
      </c>
      <c r="S180" s="106">
        <f>$S$192/($N$191-$N$184)*N180</f>
        <v>7.2235728235326695</v>
      </c>
      <c r="T180" s="106">
        <f>$T$192/($N$191-$N$184)*N180</f>
        <v>1.4522993405204432</v>
      </c>
      <c r="U180" s="106">
        <f>$U$192/($N$191-$N$174-$N$176-$N$178-$N$184)*N180</f>
        <v>9.806582278048962</v>
      </c>
      <c r="V180" s="103">
        <f>N180-S180-T180-U180</f>
        <v>27.517545557897925</v>
      </c>
      <c r="W180" s="107">
        <f>V180/12</f>
        <v>2.293128796491494</v>
      </c>
      <c r="X180" s="13" t="s">
        <v>85</v>
      </c>
    </row>
    <row r="181" spans="1:24" ht="12.75">
      <c r="A181" s="13"/>
      <c r="B181" s="34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42"/>
      <c r="N181" s="36"/>
      <c r="O181" s="102"/>
      <c r="P181" s="59"/>
      <c r="Q181" s="102"/>
      <c r="R181" s="105"/>
      <c r="S181" s="106"/>
      <c r="T181" s="106"/>
      <c r="U181" s="106"/>
      <c r="V181" s="103"/>
      <c r="W181" s="107"/>
      <c r="X181" s="13"/>
    </row>
    <row r="182" spans="1:24" ht="12.75">
      <c r="A182" s="13" t="s">
        <v>29</v>
      </c>
      <c r="B182" s="34">
        <f>469+195</f>
        <v>664</v>
      </c>
      <c r="C182" s="35">
        <v>195</v>
      </c>
      <c r="D182" s="35">
        <v>195</v>
      </c>
      <c r="E182" s="35">
        <f>458+195</f>
        <v>653</v>
      </c>
      <c r="F182" s="35">
        <v>195</v>
      </c>
      <c r="G182" s="35">
        <v>195</v>
      </c>
      <c r="H182" s="35">
        <v>457</v>
      </c>
      <c r="I182" s="35">
        <f>+195+195+591</f>
        <v>981</v>
      </c>
      <c r="J182" s="35">
        <v>195</v>
      </c>
      <c r="K182" s="35">
        <f>457</f>
        <v>457</v>
      </c>
      <c r="L182" s="35">
        <v>291.28</v>
      </c>
      <c r="M182" s="42">
        <v>145.64</v>
      </c>
      <c r="N182" s="36">
        <f>SUM(B182:M182)</f>
        <v>4623.92</v>
      </c>
      <c r="O182" s="104">
        <f>N182/$N$191</f>
        <v>0.037348045788656324</v>
      </c>
      <c r="P182" s="59">
        <f>N182/10657.4/12</f>
        <v>0.03615578533851283</v>
      </c>
      <c r="Q182" s="102"/>
      <c r="R182" s="105">
        <f>N182</f>
        <v>4623.92</v>
      </c>
      <c r="S182" s="106">
        <f>$S$192/($N$191-$N$184)*N182</f>
        <v>726.113540221504</v>
      </c>
      <c r="T182" s="106">
        <f>$T$192/($N$191-$N$184)*N182</f>
        <v>145.98512970911497</v>
      </c>
      <c r="U182" s="106">
        <f>$U$192/($N$191-$N$174-$N$176-$N$178-$N$184)*N182</f>
        <v>985.7576505894817</v>
      </c>
      <c r="V182" s="103">
        <f>N182-S182-T182-U182</f>
        <v>2766.0636794798993</v>
      </c>
      <c r="W182" s="107">
        <f>V182/12</f>
        <v>230.50530662332494</v>
      </c>
      <c r="X182" s="13" t="s">
        <v>29</v>
      </c>
    </row>
    <row r="183" spans="1:24" ht="12.75">
      <c r="A183" s="13"/>
      <c r="B183" s="34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42"/>
      <c r="N183" s="36"/>
      <c r="O183" s="104"/>
      <c r="P183" s="59"/>
      <c r="Q183" s="102"/>
      <c r="R183" s="105"/>
      <c r="S183" s="106"/>
      <c r="T183" s="106"/>
      <c r="U183" s="106"/>
      <c r="V183" s="103"/>
      <c r="W183" s="107"/>
      <c r="X183" s="13"/>
    </row>
    <row r="184" spans="1:24" ht="12.75">
      <c r="A184" s="13" t="s">
        <v>86</v>
      </c>
      <c r="B184" s="34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42">
        <v>18012.18</v>
      </c>
      <c r="N184" s="36">
        <f>SUM(B184:M184)</f>
        <v>18012.18</v>
      </c>
      <c r="O184" s="104">
        <f>N184/$N$191</f>
        <v>0.14548688632016119</v>
      </c>
      <c r="P184" s="59">
        <f>N184/10657.4/12</f>
        <v>0.14084251318332802</v>
      </c>
      <c r="Q184" s="102"/>
      <c r="R184" s="105">
        <f>N184</f>
        <v>18012.18</v>
      </c>
      <c r="S184" s="106">
        <v>0</v>
      </c>
      <c r="T184" s="106">
        <v>0</v>
      </c>
      <c r="U184" s="106">
        <v>0</v>
      </c>
      <c r="V184" s="103">
        <f>N184-S184-T184-U184</f>
        <v>18012.18</v>
      </c>
      <c r="W184" s="107">
        <f>V184/12</f>
        <v>1501.015</v>
      </c>
      <c r="X184" s="13" t="s">
        <v>87</v>
      </c>
    </row>
    <row r="185" spans="1:24" ht="12.75">
      <c r="A185" s="13"/>
      <c r="B185" s="34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42"/>
      <c r="N185" s="36"/>
      <c r="O185" s="104"/>
      <c r="P185" s="59"/>
      <c r="Q185" s="102"/>
      <c r="R185" s="105"/>
      <c r="S185" s="106"/>
      <c r="T185" s="106"/>
      <c r="U185" s="106"/>
      <c r="V185" s="103"/>
      <c r="W185" s="107"/>
      <c r="X185" s="13"/>
    </row>
    <row r="186" spans="1:24" ht="12.75">
      <c r="A186" s="13" t="s">
        <v>88</v>
      </c>
      <c r="B186" s="34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42"/>
      <c r="N186" s="36">
        <f>SUM(B186:M186)</f>
        <v>0</v>
      </c>
      <c r="O186" s="104">
        <f>N186/$N$191</f>
        <v>0</v>
      </c>
      <c r="P186" s="59">
        <f>N186/10657.4/12</f>
        <v>0</v>
      </c>
      <c r="Q186" s="102"/>
      <c r="R186" s="105">
        <f>N186</f>
        <v>0</v>
      </c>
      <c r="S186" s="106">
        <f>($S$192/$N$191)*N186</f>
        <v>0</v>
      </c>
      <c r="T186" s="106">
        <f>$T$192/($N$191)*N186</f>
        <v>0</v>
      </c>
      <c r="U186" s="106">
        <f>$U$192/($N$191-$N$176-$N$178)*N186</f>
        <v>0</v>
      </c>
      <c r="V186" s="103">
        <f>N186-S186-T186-U186</f>
        <v>0</v>
      </c>
      <c r="W186" s="107">
        <f>V186/12</f>
        <v>0</v>
      </c>
      <c r="X186" s="13" t="s">
        <v>89</v>
      </c>
    </row>
    <row r="187" spans="1:24" ht="12.75">
      <c r="A187" s="13"/>
      <c r="B187" s="34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42"/>
      <c r="N187" s="36"/>
      <c r="O187" s="102"/>
      <c r="P187" s="59"/>
      <c r="Q187" s="102"/>
      <c r="R187" s="105"/>
      <c r="S187" s="106"/>
      <c r="T187" s="106"/>
      <c r="U187" s="106"/>
      <c r="V187" s="103"/>
      <c r="W187" s="107"/>
      <c r="X187" s="13"/>
    </row>
    <row r="188" spans="1:24" ht="12.75">
      <c r="A188" s="13" t="s">
        <v>90</v>
      </c>
      <c r="B188" s="34">
        <v>72</v>
      </c>
      <c r="C188" s="35">
        <v>72</v>
      </c>
      <c r="D188" s="35">
        <v>72</v>
      </c>
      <c r="E188" s="35">
        <v>72</v>
      </c>
      <c r="F188" s="35">
        <v>72</v>
      </c>
      <c r="G188" s="35">
        <v>72</v>
      </c>
      <c r="H188" s="35">
        <v>72</v>
      </c>
      <c r="I188" s="35">
        <v>72</v>
      </c>
      <c r="J188" s="35">
        <v>72</v>
      </c>
      <c r="K188" s="35">
        <v>72</v>
      </c>
      <c r="L188" s="35">
        <v>72</v>
      </c>
      <c r="M188" s="42">
        <v>69</v>
      </c>
      <c r="N188" s="36">
        <f>SUM(B188:M188)</f>
        <v>861</v>
      </c>
      <c r="O188" s="104">
        <f>N188/$N$191</f>
        <v>0.006954416906874058</v>
      </c>
      <c r="P188" s="59">
        <f>N188/10657.4/12</f>
        <v>0.0067324112823015</v>
      </c>
      <c r="Q188" s="102"/>
      <c r="R188" s="105">
        <f>N188</f>
        <v>861</v>
      </c>
      <c r="S188" s="106">
        <f>$S$192/($N$191-$N$184)*N188</f>
        <v>135.20643915351366</v>
      </c>
      <c r="T188" s="106">
        <f>$T$192/($N$191-$N$184)*N188</f>
        <v>27.183255047567428</v>
      </c>
      <c r="U188" s="106">
        <f>$U$192/($N$191-$N$174-$N$176-$N$178-$N$184)*N188</f>
        <v>183.55363785652514</v>
      </c>
      <c r="V188" s="103">
        <f>N188-S188-T188-U188</f>
        <v>515.0566679423938</v>
      </c>
      <c r="W188" s="107">
        <f>V188/12</f>
        <v>42.921388995199486</v>
      </c>
      <c r="X188" s="13" t="s">
        <v>90</v>
      </c>
    </row>
    <row r="189" spans="1:24" ht="12.75">
      <c r="A189" s="13"/>
      <c r="B189" s="28"/>
      <c r="C189" s="28"/>
      <c r="D189" s="29"/>
      <c r="E189" s="29"/>
      <c r="F189" s="29"/>
      <c r="G189" s="29"/>
      <c r="H189" s="29"/>
      <c r="I189" s="29"/>
      <c r="J189" s="29"/>
      <c r="K189" s="29"/>
      <c r="L189" s="29"/>
      <c r="M189" s="30"/>
      <c r="N189" s="31"/>
      <c r="O189" s="108"/>
      <c r="P189" s="62"/>
      <c r="Q189" s="102"/>
      <c r="R189" s="105"/>
      <c r="S189" s="106"/>
      <c r="T189" s="106"/>
      <c r="U189" s="106"/>
      <c r="V189" s="109"/>
      <c r="W189" s="18"/>
      <c r="X189" s="13"/>
    </row>
    <row r="190" spans="1:24" ht="12.75">
      <c r="A190" s="45"/>
      <c r="B190" s="6"/>
      <c r="C190" s="6"/>
      <c r="D190" s="7"/>
      <c r="E190" s="7"/>
      <c r="F190" s="7"/>
      <c r="G190" s="7"/>
      <c r="H190" s="7"/>
      <c r="I190" s="7"/>
      <c r="J190" s="7"/>
      <c r="K190" s="7"/>
      <c r="L190" s="7"/>
      <c r="M190" s="46"/>
      <c r="N190" s="9"/>
      <c r="O190" s="101"/>
      <c r="P190" s="110"/>
      <c r="Q190" s="101"/>
      <c r="R190" s="88"/>
      <c r="S190" s="111"/>
      <c r="T190" s="111"/>
      <c r="U190" s="111"/>
      <c r="V190" s="110"/>
      <c r="W190" s="10"/>
      <c r="X190" s="10"/>
    </row>
    <row r="191" spans="1:24" ht="12.75">
      <c r="A191" s="48"/>
      <c r="B191" s="34">
        <f>SUM(B162:B188)</f>
        <v>8501.23</v>
      </c>
      <c r="C191" s="34">
        <f>SUM(C162:C188)</f>
        <v>7441.820000000001</v>
      </c>
      <c r="D191" s="35">
        <f>SUM(D162:D188)</f>
        <v>8228.41</v>
      </c>
      <c r="E191" s="35">
        <f>SUM(E162:E188)</f>
        <v>7870.740000000001</v>
      </c>
      <c r="F191" s="35">
        <f>SUM(F162:F188)</f>
        <v>8015.620000000001</v>
      </c>
      <c r="G191" s="35">
        <f>SUM(G162:G188)</f>
        <v>12277.45</v>
      </c>
      <c r="H191" s="35">
        <f>SUM(H162:H188)</f>
        <v>8495.15</v>
      </c>
      <c r="I191" s="35">
        <f>SUM(I162:I188)</f>
        <v>9106.6</v>
      </c>
      <c r="J191" s="35">
        <f>SUM(J162:J188)</f>
        <v>7988.92</v>
      </c>
      <c r="K191" s="112">
        <f>SUM(K162:K188)</f>
        <v>8711.85</v>
      </c>
      <c r="L191" s="35">
        <f>SUM(L162:L188)</f>
        <v>8883.27</v>
      </c>
      <c r="M191" s="49">
        <f>SUM(M162:M188)</f>
        <v>28285.149999999998</v>
      </c>
      <c r="N191" s="36">
        <f>SUM(N162:N188)</f>
        <v>123806.20999999999</v>
      </c>
      <c r="O191" s="104"/>
      <c r="P191" s="36">
        <f>SUM(P162:P188)</f>
        <v>0.9680770325470252</v>
      </c>
      <c r="Q191" s="102"/>
      <c r="R191" s="36">
        <f>SUM(R162:R188)</f>
        <v>123806.20999999999</v>
      </c>
      <c r="S191" s="106">
        <f>SUM(S159:S188)</f>
        <v>16613.279999999995</v>
      </c>
      <c r="T191" s="106">
        <f>SUM(T159:T188)</f>
        <v>3340.0999999999995</v>
      </c>
      <c r="U191" s="106">
        <f>SUM(U159:U188)</f>
        <v>4996.75</v>
      </c>
      <c r="V191" s="59">
        <f>SUM(V159:V188)</f>
        <v>98856.07999999999</v>
      </c>
      <c r="W191" s="37">
        <f>V191/10657.4/12</f>
        <v>0.7729846554193954</v>
      </c>
      <c r="X191" s="18" t="s">
        <v>91</v>
      </c>
    </row>
    <row r="192" spans="1:24" ht="12.75">
      <c r="A192" s="50"/>
      <c r="B192" s="22"/>
      <c r="C192" s="22"/>
      <c r="D192" s="23"/>
      <c r="E192" s="23"/>
      <c r="F192" s="23"/>
      <c r="G192" s="23"/>
      <c r="H192" s="23"/>
      <c r="I192" s="23"/>
      <c r="J192" s="23"/>
      <c r="K192" s="23"/>
      <c r="L192" s="23"/>
      <c r="M192" s="51"/>
      <c r="N192" s="25"/>
      <c r="O192" s="108"/>
      <c r="P192" s="62"/>
      <c r="Q192" s="108"/>
      <c r="R192" s="98"/>
      <c r="S192" s="113">
        <v>16613.28</v>
      </c>
      <c r="T192" s="113">
        <v>3340.1</v>
      </c>
      <c r="U192" s="113">
        <v>4996.75</v>
      </c>
      <c r="V192" s="62"/>
      <c r="W192" s="26"/>
      <c r="X192" s="26"/>
    </row>
    <row r="193" spans="1:14" ht="12.75">
      <c r="A193" s="114"/>
      <c r="B193" s="114"/>
      <c r="C193" s="11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114"/>
    </row>
    <row r="194" spans="1:14" ht="12.75">
      <c r="A194" s="114"/>
      <c r="B194" s="114"/>
      <c r="C194" s="11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114">
        <f>N191-N176-N178</f>
        <v>41557.52</v>
      </c>
    </row>
    <row r="195" spans="4:11" ht="12.75">
      <c r="D195" s="1"/>
      <c r="E195" s="1"/>
      <c r="F195" s="1"/>
      <c r="G195" s="1"/>
      <c r="H195" s="1"/>
      <c r="K195" s="1"/>
    </row>
    <row r="196" spans="4:11" ht="12.75">
      <c r="D196" s="1"/>
      <c r="E196" s="1"/>
      <c r="F196" s="1"/>
      <c r="G196" s="1"/>
      <c r="H196" s="1"/>
      <c r="K196" s="1"/>
    </row>
    <row r="197" spans="4:11" ht="12.75">
      <c r="D197" s="1"/>
      <c r="E197" s="1"/>
      <c r="F197" s="1"/>
      <c r="G197" s="1"/>
      <c r="H197" s="1"/>
      <c r="K197" s="1"/>
    </row>
    <row r="198" spans="4:11" ht="12.75">
      <c r="D198" s="1"/>
      <c r="E198" s="1"/>
      <c r="F198" s="1"/>
      <c r="G198" s="1"/>
      <c r="H198" s="1"/>
      <c r="K198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Różanek</dc:creator>
  <cp:keywords/>
  <dc:description/>
  <cp:lastModifiedBy>Urszula Różanek</cp:lastModifiedBy>
  <dcterms:created xsi:type="dcterms:W3CDTF">2015-05-21T07:04:09Z</dcterms:created>
  <dcterms:modified xsi:type="dcterms:W3CDTF">2015-05-21T07:05:03Z</dcterms:modified>
  <cp:category/>
  <cp:version/>
  <cp:contentType/>
  <cp:contentStatus/>
  <cp:revision>1</cp:revision>
</cp:coreProperties>
</file>